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imer" sheetId="1" r:id="rId1"/>
    <sheet name="0 Tables" sheetId="2" r:id="rId2"/>
    <sheet name="1 Timeline" sheetId="3" r:id="rId3"/>
    <sheet name="2 Spill" sheetId="4" r:id="rId4"/>
    <sheet name="3 LAMBDA" sheetId="5" r:id="rId5"/>
    <sheet name="4 Recurrence" sheetId="6" r:id="rId6"/>
    <sheet name="5 Fixed point" sheetId="7" r:id="rId7"/>
    <sheet name="6 Scenarios" sheetId="8" r:id="rId8"/>
    <sheet name="7 Names" sheetId="9" r:id="rId9"/>
    <sheet name="8 Audit" sheetId="10" r:id="rId10"/>
    <sheet name="Traps" sheetId="11" r:id="rId11"/>
    <sheet name="Check" sheetId="12" r:id="rId12"/>
  </sheets>
  <definedNames>
    <definedName name="CashFlow">'5 Fixed point'!$C$8:$G$8</definedName>
    <definedName name="CashInterest">_xlfn.ANCHORARRAY('5 Fixed point'!$C$15)</definedName>
    <definedName name="CashOpening">_xlfn.ANCHORARRAY('5 Fixed point'!$C$13)</definedName>
    <definedName name="CashRate">'5 Fixed point'!$C$5</definedName>
    <definedName name="CHK.Tol">Check!$B$3</definedName>
    <definedName name="ClosingCash">_xlfn.TAKE(FixSolver, 1, Periods)</definedName>
    <definedName name="ClosingDebt">_xlfn.ANCHORARRAY('4 Recurrence'!$C$7)</definedName>
    <definedName name="COGS">_xlfn.ANCHORARRAY('2 Spill'!$C$14)</definedName>
    <definedName name="DebtOpening">_xlfn.ANCHORARRAY('4 Recurrence'!$C$10)</definedName>
    <definedName name="EBITDA">_xlfn.ANCHORARRAY('2 Spill'!$C$26)</definedName>
    <definedName name="EBITDA_base">_xlfn.ANCHORARRAY('6 Scenarios'!$C$10)</definedName>
    <definedName name="EBITDA_upside">_xlfn.ANCHORARRAY('6 Scenarios'!$C$19)</definedName>
    <definedName name="Factorial">_xlfn.LAMBDA(_xlpm.n, IF(_xlpm.n &lt;= 1, 1, _xlpm.n * Factorial(_xlpm.n - 1)))</definedName>
    <definedName name="FixChange">INDEX(FixSolver, 1, Periods + 2)</definedName>
    <definedName name="FixIterations">INDEX(FixSolver, 1, Periods + 1)</definedName>
    <definedName name="FixSolver">_xlfn.ANCHORARRAY('5 Fixed point'!$C$11)</definedName>
    <definedName name="FN.DEV">_xlfn.LAMBDA(_xlpm.got, _xlpm.exp, IF(ISNA(_xlpm.exp), IF(ISNA(_xlpm.got), 0, 1E+99), IF(ISNA(_xlpm.got), 1E+99, ABS(_xlpm.got - _xlpm.exp)) ) )</definedName>
    <definedName name="FN.FIXPOINT">_xlfn.LAMBDA(_xlpm.step, _xlpm.seed, _xlpm.tol, _xlpm.cap, _xlfn.REDUCE(_xlfn.HSTACK(_xlpm.seed, 0, 1E+300), _xlfn.SEQUENCE(_xlpm.cap), _xlfn.LAMBDA(_xlpm.acc, _xlpm.k, _xlfn.LET(_xlpm.n, COLUMNS(_xlpm.acc) - 2, _xlpm.x, _xlfn.TAKE(_xlpm.acc, 1, _xlpm.n), _xlpm.last, INDEX(_xlpm.acc, 1, _xlpm.n + 2), IF(_xlpm.last &lt;= _xlpm.tol, _xlpm.acc, _xlfn.LET(_xlpm.y, _xlpm.step(_xlpm.x), _xlpm.big, IF(ABS(_xlpm.x) &gt; ABS(_xlpm.y), ABS(_xlpm.x), ABS(_xlpm.y)), _xlpm.denom, IF(_xlpm.big &gt; 1, _xlpm.big, 1), _xlfn.HSTACK(_xlpm.y, _xlpm.k, MAX(ABS(_xlpm.y - _xlpm.x) / _xlpm.denom))))))) )</definedName>
    <definedName name="Gross">_xlfn.ANCHORARRAY('2 Spill'!$C$18)</definedName>
    <definedName name="Grow">_xlfn.LAMBDA(_xlpm.base, _xlpm.g, _xlpm.t, _xlpm.base * (1 + _xlpm.g) ^ _xlpm.t)</definedName>
    <definedName name="Growλ">_xlfn.LAMBDA(_xlpm.base, _xlpm.rate, _xlpm.n, _xlpm.base * (1 + _xlpm.rate)^_xlfn.SEQUENCE(1, _xlpm.n, 0, 1))</definedName>
    <definedName name="IterCap">'5 Fixed point'!$C$7</definedName>
    <definedName name="OpeningCash">'5 Fixed point'!$C$4</definedName>
    <definedName name="OpeningDebt">'4 Recurrence'!$C$4</definedName>
    <definedName name="Opex">_xlfn.ANCHORARRAY('2 Spill'!$C$22)</definedName>
    <definedName name="PeriodEnd">_xlfn.ANCHORARRAY('1 Timeline'!$C$9)</definedName>
    <definedName name="Periods">'1 Timeline'!$C$5</definedName>
    <definedName name="Repayments">'4 Recurrence'!$C$5:$G$5</definedName>
    <definedName name="Revenue">_xlfn.ANCHORARRAY('2 Spill'!$C$10)</definedName>
    <definedName name="Revenue_base">_xlfn.ANCHORARRAY('6 Scenarios'!$C$6)</definedName>
    <definedName name="Revenue_upside">_xlfn.ANCHORARRAY('6 Scenarios'!$C$15)</definedName>
    <definedName name="StartDate">'1 Timeline'!$C$4</definedName>
    <definedName name="Tolerance">'5 Fixed point'!$C$6</definedName>
    <definedName name="TrapX">Traps!$C$4:$G$4</definedName>
    <definedName name="TrapY">Traps!$C$5:$G$5</definedName>
    <definedName name="Years">_xlfn.ANCHORARRAY('1 Timeline'!$C$11)</definedName>
  </definedNames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<sst xmlns="http://schemas.openxmlformats.org/spreadsheetml/2006/main" count="1514" uniqueCount="561">
  <si>
    <t>Primer — the examples of section 2, at the post's own cell addresses</t>
  </si>
  <si>
    <t>growth rate  (B1)</t>
  </si>
  <si>
    <t>year  (B2 spills to F2)</t>
  </si>
  <si>
    <t>loan: opening balance A6, repayments B5:F5</t>
  </si>
  <si>
    <t>repayment</t>
  </si>
  <si>
    <t>A3 is the base revenue, B1 the growth rate; A6 is a loan's opening balance and B5:F5 its repayments. Yellow cells are inputs.</t>
  </si>
  <si>
    <t>Column H shows each formula as Excel stores it. The post writes the LET version in B3 too; here it has its own row, B12.</t>
  </si>
  <si>
    <t>The same revenue row, three more ways</t>
  </si>
  <si>
    <t>LET</t>
  </si>
  <si>
    <t>LAMBDA, defined and called at once</t>
  </si>
  <si>
    <t>Grow, a LAMBDA named in the Name Manager</t>
  </si>
  <si>
    <t>Grow is defined as  =LAMBDA(base, g, t, base * (1 + g) ^ t)</t>
  </si>
  <si>
    <t>Functions that take a function</t>
  </si>
  <si>
    <t>MAP: round every value to one decimal</t>
  </si>
  <si>
    <t>BYCOL: repayment + closing = opening</t>
  </si>
  <si>
    <t>REDUCE: the same walk as B6, last value only</t>
  </si>
  <si>
    <t>MAKEARRAY: row number times column number</t>
  </si>
  <si>
    <t>Factorial: a named LAMBDA that calls itself</t>
  </si>
  <si>
    <t>Factorial is defined as  =LAMBDA(n, IF(n &lt;= 1, 1, n * Factorial(n - 1)))</t>
  </si>
  <si>
    <t>Sorting, de-duplicating and filtering a small table</t>
  </si>
  <si>
    <t>Product</t>
  </si>
  <si>
    <t>Region</t>
  </si>
  <si>
    <t>Units</t>
  </si>
  <si>
    <t>Alpha</t>
  </si>
  <si>
    <t>North</t>
  </si>
  <si>
    <t>Beta</t>
  </si>
  <si>
    <t>South</t>
  </si>
  <si>
    <t>Gamma</t>
  </si>
  <si>
    <t>SORT, by units, largest first</t>
  </si>
  <si>
    <t>UNIQUE products</t>
  </si>
  <si>
    <t>FILTER: rows with at least 100 units</t>
  </si>
  <si>
    <t>#SPILL!: C45 is in the way of B45</t>
  </si>
  <si>
    <t>in the way</t>
  </si>
  <si>
    <t>Delete C45 and B45 spills 1 to 5 across B45:F45.</t>
  </si>
  <si>
    <t>Layer 0 — data goes into Tables, never into the grid</t>
  </si>
  <si>
    <t>The inputs live in an Excel Table called Assumptions. A structured reference names a column; an address names a cell.</t>
  </si>
  <si>
    <t>Add a product row to the table and B12 grows with it; B16 still points at one cell.</t>
  </si>
  <si>
    <t>Growth</t>
  </si>
  <si>
    <t>Revenue Y0</t>
  </si>
  <si>
    <t>COGS %</t>
  </si>
  <si>
    <t>Opex</t>
  </si>
  <si>
    <t>formula, as Excel stores it (FORMULATEXT)</t>
  </si>
  <si>
    <t>=Assumptions[Growth]</t>
  </si>
  <si>
    <t>=$B$7</t>
  </si>
  <si>
    <t>Scenarios (read on sheet 6 Scenarios)</t>
  </si>
  <si>
    <t>Scenario</t>
  </si>
  <si>
    <t>Growth add</t>
  </si>
  <si>
    <t>base</t>
  </si>
  <si>
    <t>upside</t>
  </si>
  <si>
    <t>Layer 1 — the timeline is generated, and it is the only thing that is</t>
  </si>
  <si>
    <t>One cell produces the period axis. Change Periods (C5) and every row here, and every line item on the later sheets, reshapes.</t>
  </si>
  <si>
    <t>StartDate</t>
  </si>
  <si>
    <t>Periods</t>
  </si>
  <si>
    <t>as the post prints it: SEQUENCE steps by 1 month</t>
  </si>
  <si>
    <t>PeriodEnd: the annual axis, stepping by 12</t>
  </si>
  <si>
    <t>Years</t>
  </si>
  <si>
    <t>a year label is a number: arithmetic works on it</t>
  </si>
  <si>
    <t>The step is SEQUENCE's fourth argument: 1 for months, 12 for years. Only the calculations follow a change of Periods;</t>
  </si>
  <si>
    <t>formats, column widths, charts and anything not written as a dynamic array do not.</t>
  </si>
  <si>
    <t>Layer 2 — one spill per line item, named</t>
  </si>
  <si>
    <t>Each line item is one formula in column C, spilling one row per product and one column per year.</t>
  </si>
  <si>
    <t>In the Name Manager each is named as its spilled range: Revenue refers to ='2 Spill'!$C$10#. Downstream formulas name line items, never addresses.</t>
  </si>
  <si>
    <t>year</t>
  </si>
  <si>
    <t>Revenue</t>
  </si>
  <si>
    <t>COGS</t>
  </si>
  <si>
    <t>Gross</t>
  </si>
  <si>
    <t>EBITDA</t>
  </si>
  <si>
    <t>Revenue, all products</t>
  </si>
  <si>
    <t>Layer 3 — reusable rules become named LAMBDAs</t>
  </si>
  <si>
    <t>Growλ is defined once in the Name Manager and called like a built-in function. The λ suffix is the naming convention of the 5g library.</t>
  </si>
  <si>
    <t>Growλ over the Assumptions table</t>
  </si>
  <si>
    <t>Growλ on plain numbers</t>
  </si>
  <si>
    <t>Growλ is defined as  =LAMBDA(base, rate, n, base * (1 + rate)^SEQUENCE(1, n, 0, 1))</t>
  </si>
  <si>
    <t>Row 5 equals Revenue on sheet 2 Spill; the Check sheet asserts it.</t>
  </si>
  <si>
    <t>Layer 4 — recurrences, and the first real wall</t>
  </si>
  <si>
    <t>SCAN carries a balance from one year to the next. Its accumulator must be a single value: an accumulator that is itself an array fails.</t>
  </si>
  <si>
    <t>OpeningDebt</t>
  </si>
  <si>
    <t>Repayments</t>
  </si>
  <si>
    <t>ClosingDebt</t>
  </si>
  <si>
    <t>The corkscrew, as ordinary rows</t>
  </si>
  <si>
    <t>Opening</t>
  </si>
  <si>
    <t>Repayment</t>
  </si>
  <si>
    <t>Closing = Opening - Repayment</t>
  </si>
  <si>
    <t>An array per step: the nested-array case</t>
  </si>
  <si>
    <t>The post's listing. What it returns depends on the workbook's COMPATIBILITY VERSION, a per-workbook setting:</t>
  </si>
  <si>
    <t>SCAN whose accumulator is an array</t>
  </si>
  <si>
    <t>this workbook computes it as</t>
  </si>
  <si>
    <t>sum of each nested array (Version 3 only)</t>
  </si>
  <si>
    <t>Both behaviours, measured on Excel 16.114 for Mac, Beta channel, 2026-09-26</t>
  </si>
  <si>
    <t>default compatibility version (every channel)</t>
  </si>
  <si>
    <t>#CALC!</t>
  </si>
  <si>
    <t>Compatibility Version 3 (Beta channel preview)</t>
  </si>
  <si>
    <t>{1;2}</t>
  </si>
  <si>
    <t>{1;2;3}</t>
  </si>
  <si>
    <t>{1;2;3;4}</t>
  </si>
  <si>
    <t>At Version 3 C16 spills three cells, each holding an array. Microsoft announced nested arrays on 2026-09-24 for the Beta channels,</t>
  </si>
  <si>
    <t>switched on per workbook (Formulas &gt; Calculation Options &gt; Compatibility Version 3), as a preview whose behaviour may change.</t>
  </si>
  <si>
    <t>Layer 5 — circularity, and the loop you write yourself</t>
  </si>
  <si>
    <t>Interest on the year's AVERAGE cash reads this year's closing balance, which includes this year's interest: a loop, per year.</t>
  </si>
  <si>
    <t>FN.FIXPOINT applies the whole row, as a function, to its own previous output until the change is at most Tolerance, at most IterCap times.</t>
  </si>
  <si>
    <t>OpeningCash</t>
  </si>
  <si>
    <t>CashRate (interest on average cash)</t>
  </si>
  <si>
    <t>Tolerance</t>
  </si>
  <si>
    <t>IterCap</t>
  </si>
  <si>
    <t>CashFlow</t>
  </si>
  <si>
    <t>the solver: the row, then iterations, then last change</t>
  </si>
  <si>
    <t>iterations</t>
  </si>
  <si>
    <t>last change</t>
  </si>
  <si>
    <t>Cash flow</t>
  </si>
  <si>
    <t>Interest on average cash</t>
  </si>
  <si>
    <t>Closing (the fixed point)</t>
  </si>
  <si>
    <t>Closing, recomputed from rows 13 to 15</t>
  </si>
  <si>
    <t>iterations used</t>
  </si>
  <si>
    <t>Rows 16 and 17 agree: the Check sheet asserts it. Change Tolerance or CashRate and watch the iteration count.</t>
  </si>
  <si>
    <t>Layer 6 — the third dimension, and the choice you cannot avoid</t>
  </si>
  <si>
    <t>Products x years x scenarios, on a grid with two axes. Stacked blocks: one block per scenario, with the scenario in the NAME (Revenue_upside).</t>
  </si>
  <si>
    <t>Adding a scenario means another block and another set of names.</t>
  </si>
  <si>
    <t>scenario: base</t>
  </si>
  <si>
    <t>Revenue_base</t>
  </si>
  <si>
    <t>EBITDA_base</t>
  </si>
  <si>
    <t>scenario: upside</t>
  </si>
  <si>
    <t>Revenue_upside</t>
  </si>
  <si>
    <t>EBITDA_upside</t>
  </si>
  <si>
    <t>Layer 7 — the workbook's defined names, counted by kind</t>
  </si>
  <si>
    <t>Names are saved in the workbook, not in Excel: this list is this file's private copy of every function and every line item.</t>
  </si>
  <si>
    <t>Kinds: function (a LAMBDA), input, axis (the timeline), line item, scenario copy (one per extra coordinate), harness (Check).</t>
  </si>
  <si>
    <t>Names by kind</t>
  </si>
  <si>
    <t>total</t>
  </si>
  <si>
    <t>The Name Manager also lists the three Tables (Assumptions, Scenarios, NameList), which are not defined names.</t>
  </si>
  <si>
    <t>Layer 8 — the audit story you have to write yourself</t>
  </si>
  <si>
    <t>One LET computing Alpha's EBITDA, in one cell. Its names exist only while the cell computes; there is no step debugger to show them.</t>
  </si>
  <si>
    <t>Rows 8 to 13 take it apart into ordinary cells, which is the practical technique: rebuild the intermediates the design removed.</t>
  </si>
  <si>
    <t>the LET, in one cell</t>
  </si>
  <si>
    <t>the same LET, taken apart</t>
  </si>
  <si>
    <t>g</t>
  </si>
  <si>
    <t>rev = curve(base, g)</t>
  </si>
  <si>
    <t>cost</t>
  </si>
  <si>
    <t>overhead</t>
  </si>
  <si>
    <t>rev - cost - overhead</t>
  </si>
  <si>
    <t>Traps — three built-ins that return a believable wrong number</t>
  </si>
  <si>
    <t>None of these raises an error. Each is shown next to the form that does what was meant.</t>
  </si>
  <si>
    <t>TrapX</t>
  </si>
  <si>
    <t>TrapY</t>
  </si>
  <si>
    <t>1. AND reduces a whole row to ONE boolean</t>
  </si>
  <si>
    <t>IF(AND(...)): one answer for all five</t>
  </si>
  <si>
    <t>IF((a) * (b)): one answer per position</t>
  </si>
  <si>
    <t>2. Implicit intersection in a legacy cell</t>
  </si>
  <si>
    <t>legacy formula, in column E: reads E4 only</t>
  </si>
  <si>
    <t>the same text as a dynamic-array formula</t>
  </si>
  <si>
    <t>3. SUM ignores TRUE and FALSE inside an array</t>
  </si>
  <si>
    <t>SUM of comparisons</t>
  </si>
  <si>
    <t>SUM of comparisons turned into numbers</t>
  </si>
  <si>
    <t>SUMPRODUCT of the same</t>
  </si>
  <si>
    <t>SUM of a product of comparisons, dynamic</t>
  </si>
  <si>
    <t>the same, as a legacy formula in column E</t>
  </si>
  <si>
    <t>A legacy formula is how Excel stores anything written before dynamic arrays; Excel shows its implicit intersection as @.</t>
  </si>
  <si>
    <t>Check — every sheet's results against an independent Python computation</t>
  </si>
  <si>
    <t>Expected values were computed independently in Python from the same inputs; nothing here was read back from Excel.</t>
  </si>
  <si>
    <t>tolerance (absolute)</t>
  </si>
  <si>
    <t>Post listings vs FORMULATEXT, whitespace removed</t>
  </si>
  <si>
    <t>worst abs dev</t>
  </si>
  <si>
    <t>row</t>
  </si>
  <si>
    <t>exp 1</t>
  </si>
  <si>
    <t>got 1</t>
  </si>
  <si>
    <t>dev 1</t>
  </si>
  <si>
    <t>per row</t>
  </si>
  <si>
    <t>listings [1]</t>
  </si>
  <si>
    <t>=SEQUENCE(1,5,2023)</t>
  </si>
  <si>
    <t>listings [2]</t>
  </si>
  <si>
    <t>=A3*(1+B1)^(B2#-2023)</t>
  </si>
  <si>
    <t>listings [3]</t>
  </si>
  <si>
    <t>=LET(base,A3,g,B1,t,B2#-2023,base*(1+g)^t)</t>
  </si>
  <si>
    <t>listings [4]</t>
  </si>
  <si>
    <t>=LAMBDA(base,g,t,base*(1+g)^t)(A3,B1,B2#-2023)</t>
  </si>
  <si>
    <t>listings [5]</t>
  </si>
  <si>
    <t>=Grow(A3,B1,B2#-2023)</t>
  </si>
  <si>
    <t>listings [6]</t>
  </si>
  <si>
    <t>=SCAN(A6,B5:F5,LAMBDA(balance,repayment,balance-repayment))</t>
  </si>
  <si>
    <t>listings [7]</t>
  </si>
  <si>
    <t>=EOMONTH(StartDate,SEQUENCE(1,Periods,0,1))</t>
  </si>
  <si>
    <t>listings [8]</t>
  </si>
  <si>
    <t>=LET(base,Assumptions[RevenueY0],g,Assumptions[Growth],base*(1+g)^SEQUENCE(1,Periods,0,1))</t>
  </si>
  <si>
    <t>listings [9]</t>
  </si>
  <si>
    <t>=Revenue-COGS</t>
  </si>
  <si>
    <t>listings [10]</t>
  </si>
  <si>
    <t>=Gross-Opex</t>
  </si>
  <si>
    <t>listings [11]</t>
  </si>
  <si>
    <t>=Growλ(Assumptions[RevenueY0],Assumptions[Growth],Periods)</t>
  </si>
  <si>
    <t>listings [12]</t>
  </si>
  <si>
    <t>=SCAN(OpeningDebt,Repayments,LAMBDA(bal,rep,bal-rep))</t>
  </si>
  <si>
    <t>listings [13]</t>
  </si>
  <si>
    <t>=SCAN({1},{2,3,4},LAMBDA(acc,cv,VSTACK(acc,cv)))</t>
  </si>
  <si>
    <t>Primer B2  SEQUENCE</t>
  </si>
  <si>
    <t>exp 2</t>
  </si>
  <si>
    <t>got 2</t>
  </si>
  <si>
    <t>dev 2</t>
  </si>
  <si>
    <t>exp 3</t>
  </si>
  <si>
    <t>got 3</t>
  </si>
  <si>
    <t>dev 3</t>
  </si>
  <si>
    <t>exp 4</t>
  </si>
  <si>
    <t>got 4</t>
  </si>
  <si>
    <t>dev 4</t>
  </si>
  <si>
    <t>exp 5</t>
  </si>
  <si>
    <t>got 5</t>
  </si>
  <si>
    <t>dev 5</t>
  </si>
  <si>
    <t>primer.B2 [1]</t>
  </si>
  <si>
    <t>Primer B3  revenue row</t>
  </si>
  <si>
    <t>primer.B3 [1]</t>
  </si>
  <si>
    <t>Primer B12  LET</t>
  </si>
  <si>
    <t>primer.let [1]</t>
  </si>
  <si>
    <t>Primer B13  LAMBDA inline</t>
  </si>
  <si>
    <t>primer.inline [1]</t>
  </si>
  <si>
    <t>Primer B14  Grow</t>
  </si>
  <si>
    <t>primer.grow [1]</t>
  </si>
  <si>
    <t>Primer B6  SCAN loan balance</t>
  </si>
  <si>
    <t>primer.B6 [1]</t>
  </si>
  <si>
    <t>Primer B18  MAP</t>
  </si>
  <si>
    <t>primer.map [1]</t>
  </si>
  <si>
    <t>Primer B19  BYCOL</t>
  </si>
  <si>
    <t>primer.bycol [1]</t>
  </si>
  <si>
    <t>Primer B19  BYCOL equals the opening balance</t>
  </si>
  <si>
    <t>primer.bycol.is.opening [1]</t>
  </si>
  <si>
    <t>Primer B20  REDUCE</t>
  </si>
  <si>
    <t>primer.reduce [1]</t>
  </si>
  <si>
    <t>Primer B21  MAKEARRAY</t>
  </si>
  <si>
    <t>primer.makearray [1]</t>
  </si>
  <si>
    <t>primer.makearray [2]</t>
  </si>
  <si>
    <t>primer.makearray [3]</t>
  </si>
  <si>
    <t>Primer B25  recursive Factorial</t>
  </si>
  <si>
    <t>primer.fact [1]</t>
  </si>
  <si>
    <t>Primer E30  SORT, units</t>
  </si>
  <si>
    <t>primer.sort.units [1]</t>
  </si>
  <si>
    <t>primer.sort.units [2]</t>
  </si>
  <si>
    <t>primer.sort.units [3]</t>
  </si>
  <si>
    <t>primer.sort.units [4]</t>
  </si>
  <si>
    <t>primer.sort.units [5]</t>
  </si>
  <si>
    <t>primer.sort.units [6]</t>
  </si>
  <si>
    <t>Primer E30  SORT, labels</t>
  </si>
  <si>
    <t>primer.sort.text [1]</t>
  </si>
  <si>
    <t>primer.sort.text [2]</t>
  </si>
  <si>
    <t>primer.sort.text [3]</t>
  </si>
  <si>
    <t>primer.sort.text [4]</t>
  </si>
  <si>
    <t>primer.sort.text [5]</t>
  </si>
  <si>
    <t>primer.sort.text [6]</t>
  </si>
  <si>
    <t>Primer B37  UNIQUE</t>
  </si>
  <si>
    <t>primer.unique [1]</t>
  </si>
  <si>
    <t>primer.unique [2]</t>
  </si>
  <si>
    <t>primer.unique [3]</t>
  </si>
  <si>
    <t>Primer B41  FILTER, units</t>
  </si>
  <si>
    <t>primer.filter.units [1]</t>
  </si>
  <si>
    <t>primer.filter.units [2]</t>
  </si>
  <si>
    <t>primer.filter.units [3]</t>
  </si>
  <si>
    <t>Primer B41  FILTER, labels</t>
  </si>
  <si>
    <t>primer.filter.text [1]</t>
  </si>
  <si>
    <t>primer.filter.text [2]</t>
  </si>
  <si>
    <t>primer.filter.text [3]</t>
  </si>
  <si>
    <t>Primer B45  ERROR.TYPE is 9, a SPILL error</t>
  </si>
  <si>
    <t>primer.spill [1]</t>
  </si>
  <si>
    <t>0 Tables B12  Assumptions[Growth]</t>
  </si>
  <si>
    <t>tables.growth [1]</t>
  </si>
  <si>
    <t>tables.growth [2]</t>
  </si>
  <si>
    <t>tables.growth [3]</t>
  </si>
  <si>
    <t>0 Tables B16  $B$7</t>
  </si>
  <si>
    <t>tables.B7 [1]</t>
  </si>
  <si>
    <t>1 Timeline C7  the post's listing, monthly</t>
  </si>
  <si>
    <t>timeline.monthly [1]</t>
  </si>
  <si>
    <t>1 Timeline  PeriodEnd</t>
  </si>
  <si>
    <t>timeline.annual [1]</t>
  </si>
  <si>
    <t>1 Timeline  Years</t>
  </si>
  <si>
    <t>timeline.years [1]</t>
  </si>
  <si>
    <t>1 Timeline C13  Years + 1</t>
  </si>
  <si>
    <t>timeline.plus1 [1]</t>
  </si>
  <si>
    <t>2 Spill  Revenue</t>
  </si>
  <si>
    <t>spill.revenue [1]</t>
  </si>
  <si>
    <t>spill.revenue [2]</t>
  </si>
  <si>
    <t>spill.revenue [3]</t>
  </si>
  <si>
    <t>2 Spill  COGS</t>
  </si>
  <si>
    <t>spill.cogs [1]</t>
  </si>
  <si>
    <t>spill.cogs [2]</t>
  </si>
  <si>
    <t>spill.cogs [3]</t>
  </si>
  <si>
    <t>2 Spill  Gross</t>
  </si>
  <si>
    <t>spill.gross [1]</t>
  </si>
  <si>
    <t>spill.gross [2]</t>
  </si>
  <si>
    <t>spill.gross [3]</t>
  </si>
  <si>
    <t>2 Spill  Opex</t>
  </si>
  <si>
    <t>spill.opex [1]</t>
  </si>
  <si>
    <t>spill.opex [2]</t>
  </si>
  <si>
    <t>spill.opex [3]</t>
  </si>
  <si>
    <t>2 Spill  EBITDA</t>
  </si>
  <si>
    <t>spill.ebitda [1]</t>
  </si>
  <si>
    <t>spill.ebitda [2]</t>
  </si>
  <si>
    <t>spill.ebitda [3]</t>
  </si>
  <si>
    <t>2 Spill C30  revenue, all products</t>
  </si>
  <si>
    <t>spill.total [1]</t>
  </si>
  <si>
    <t>3 LAMBDA C5  Growλ over the table</t>
  </si>
  <si>
    <t>lambda.growlam [1]</t>
  </si>
  <si>
    <t>lambda.growlam [2]</t>
  </si>
  <si>
    <t>lambda.growlam [3]</t>
  </si>
  <si>
    <t>3 LAMBDA C9  Growλ(100, 10%, 5)</t>
  </si>
  <si>
    <t>lambda.scalar [1]</t>
  </si>
  <si>
    <t>4 Recurrence  ClosingDebt</t>
  </si>
  <si>
    <t>rec.closing [1]</t>
  </si>
  <si>
    <t>4 Recurrence  opening row</t>
  </si>
  <si>
    <t>rec.opening [1]</t>
  </si>
  <si>
    <t>4 Recurrence C16  default version, CALC error (type 14); n/a at Version 3</t>
  </si>
  <si>
    <t>rec.nested [1]</t>
  </si>
  <si>
    <t>4 Recurrence C16  Version 3, nested sums; n/a at default version</t>
  </si>
  <si>
    <t>rec.nested.v3 [1]</t>
  </si>
  <si>
    <t>5 Fixed point  ClosingCash vs the closed form</t>
  </si>
  <si>
    <t>fix.closing [1]</t>
  </si>
  <si>
    <t>5 Fixed point  opening row</t>
  </si>
  <si>
    <t>fix.opening [1]</t>
  </si>
  <si>
    <t>5 Fixed point  interest row</t>
  </si>
  <si>
    <t>fix.interest [1]</t>
  </si>
  <si>
    <t>5 Fixed point  iterations, predicted in Python</t>
  </si>
  <si>
    <t>fix.iterations [1]</t>
  </si>
  <si>
    <t>6 Scenarios  Revenue_base</t>
  </si>
  <si>
    <t>scen.revenue.base [1]</t>
  </si>
  <si>
    <t>scen.revenue.base [2]</t>
  </si>
  <si>
    <t>scen.revenue.base [3]</t>
  </si>
  <si>
    <t>6 Scenarios  EBITDA_base</t>
  </si>
  <si>
    <t>scen.ebitda.base [1]</t>
  </si>
  <si>
    <t>scen.ebitda.base [2]</t>
  </si>
  <si>
    <t>scen.ebitda.base [3]</t>
  </si>
  <si>
    <t>6 Scenarios  Revenue_upside</t>
  </si>
  <si>
    <t>scen.revenue.upside [1]</t>
  </si>
  <si>
    <t>scen.revenue.upside [2]</t>
  </si>
  <si>
    <t>scen.revenue.upside [3]</t>
  </si>
  <si>
    <t>6 Scenarios  EBITDA_upside</t>
  </si>
  <si>
    <t>scen.ebitda.upside [1]</t>
  </si>
  <si>
    <t>scen.ebitda.upside [2]</t>
  </si>
  <si>
    <t>scen.ebitda.upside [3]</t>
  </si>
  <si>
    <t>8 Audit C5  the LET</t>
  </si>
  <si>
    <t>audit.let [1]</t>
  </si>
  <si>
    <t>8 Audit C10  rev</t>
  </si>
  <si>
    <t>audit.rev [1]</t>
  </si>
  <si>
    <t>8 Audit C11  cost</t>
  </si>
  <si>
    <t>audit.cost [1]</t>
  </si>
  <si>
    <t>8 Audit C13  rev - cost - overhead</t>
  </si>
  <si>
    <t>audit.result [1]</t>
  </si>
  <si>
    <t>Traps C8  AND, one answer</t>
  </si>
  <si>
    <t>trap.and.scalar [1]</t>
  </si>
  <si>
    <t>Traps C9  product of comparisons</t>
  </si>
  <si>
    <t>trap.and.rows [1]</t>
  </si>
  <si>
    <t>Traps E12  legacy cell, intersected</t>
  </si>
  <si>
    <t>trap.ii.legacy [1]</t>
  </si>
  <si>
    <t>Traps E13  dynamic cell</t>
  </si>
  <si>
    <t>trap.ii.dynamic [1]</t>
  </si>
  <si>
    <t>Traps E16  SUM of booleans</t>
  </si>
  <si>
    <t>trap.sum.bool [1]</t>
  </si>
  <si>
    <t>Traps E17  SUM of --booleans</t>
  </si>
  <si>
    <t>trap.sum.coerced [1]</t>
  </si>
  <si>
    <t>Traps E18  SUMPRODUCT of --booleans</t>
  </si>
  <si>
    <t>trap.sumproduct.coerced [1]</t>
  </si>
  <si>
    <t>Traps E19  SUM of a product, dynamic</t>
  </si>
  <si>
    <t>trap.sum.product.dynamic [1]</t>
  </si>
  <si>
    <t>Traps E20  SUM of a product, legacy</t>
  </si>
  <si>
    <t>trap.sum.product.legacy [1]</t>
  </si>
  <si>
    <t>Primer  displayed formulas == build source (15)</t>
  </si>
  <si>
    <t>source.Primer [1]</t>
  </si>
  <si>
    <t>source.Primer [2]</t>
  </si>
  <si>
    <t>source.Primer [3]</t>
  </si>
  <si>
    <t>source.Primer [4]</t>
  </si>
  <si>
    <t>source.Primer [5]</t>
  </si>
  <si>
    <t>source.Primer [6]</t>
  </si>
  <si>
    <t>source.Primer [7]</t>
  </si>
  <si>
    <t>=MAP(B3#,LAMBDA(v,ROUND(v,1)))</t>
  </si>
  <si>
    <t>source.Primer [8]</t>
  </si>
  <si>
    <t>=BYCOL(B5:F6,LAMBDA(amounts,SUM(amounts)))</t>
  </si>
  <si>
    <t>source.Primer [9]</t>
  </si>
  <si>
    <t>=REDUCE(A6,B5:F5,LAMBDA(balance,repayment,balance-repayment))</t>
  </si>
  <si>
    <t>source.Primer [10]</t>
  </si>
  <si>
    <t>=MAKEARRAY(3,5,LAMBDA(r,c,r*c))</t>
  </si>
  <si>
    <t>source.Primer [11]</t>
  </si>
  <si>
    <t>=Factorial(5)</t>
  </si>
  <si>
    <t>source.Primer [12]</t>
  </si>
  <si>
    <t>=SORT(A30:C35,3,-1)</t>
  </si>
  <si>
    <t>source.Primer [13]</t>
  </si>
  <si>
    <t>=UNIQUE(A30:A35)</t>
  </si>
  <si>
    <t>source.Primer [14]</t>
  </si>
  <si>
    <t>=FILTER(A30:C35,C30:C35&gt;=100)</t>
  </si>
  <si>
    <t>source.Primer [15]</t>
  </si>
  <si>
    <t>=SEQUENCE(1,5)</t>
  </si>
  <si>
    <t>0 Tables  displayed formulas == build source (2)</t>
  </si>
  <si>
    <t>source.0 Tables [1]</t>
  </si>
  <si>
    <t>source.0 Tables [2]</t>
  </si>
  <si>
    <t>1 Timeline  displayed formulas == build source (4)</t>
  </si>
  <si>
    <t>source.1 Timeline [1]</t>
  </si>
  <si>
    <t>source.1 Timeline [2]</t>
  </si>
  <si>
    <t>=EOMONTH(StartDate,SEQUENCE(1,Periods,0,12))</t>
  </si>
  <si>
    <t>source.1 Timeline [3]</t>
  </si>
  <si>
    <t>=YEAR(PeriodEnd)</t>
  </si>
  <si>
    <t>source.1 Timeline [4]</t>
  </si>
  <si>
    <t>=Years+1</t>
  </si>
  <si>
    <t>2 Spill  displayed formulas == build source (6)</t>
  </si>
  <si>
    <t>source.2 Spill [1]</t>
  </si>
  <si>
    <t>source.2 Spill [2]</t>
  </si>
  <si>
    <t>=Revenue*Assumptions[COGS%]</t>
  </si>
  <si>
    <t>source.2 Spill [3]</t>
  </si>
  <si>
    <t>source.2 Spill [4]</t>
  </si>
  <si>
    <t>=Assumptions[Opex]*SEQUENCE(1,Periods,1,0)</t>
  </si>
  <si>
    <t>source.2 Spill [5]</t>
  </si>
  <si>
    <t>source.2 Spill [6]</t>
  </si>
  <si>
    <t>=BYCOL(Revenue,LAMBDA(amounts,SUM(amounts)))</t>
  </si>
  <si>
    <t>3 LAMBDA  displayed formulas == build source (2)</t>
  </si>
  <si>
    <t>source.3 LAMBDA [1]</t>
  </si>
  <si>
    <t>source.3 LAMBDA [2]</t>
  </si>
  <si>
    <t>=Growλ(100,10%,5)</t>
  </si>
  <si>
    <t>4 Recurrence  displayed formulas == build source (7)</t>
  </si>
  <si>
    <t>source.4 Recurrence [1]</t>
  </si>
  <si>
    <t>source.4 Recurrence [2]</t>
  </si>
  <si>
    <t>=HSTACK(OpeningDebt,DROP(ClosingDebt,0,-1))</t>
  </si>
  <si>
    <t>source.4 Recurrence [3]</t>
  </si>
  <si>
    <t>=Repayments</t>
  </si>
  <si>
    <t>source.4 Recurrence [4]</t>
  </si>
  <si>
    <t>=DebtOpening-Repayments</t>
  </si>
  <si>
    <t>source.4 Recurrence [5]</t>
  </si>
  <si>
    <t>source.4 Recurrence [6]</t>
  </si>
  <si>
    <t>=IF(OR(ISERROR(C16)),"#CALC!(defaultversion)","nestedarrays(CompatibilityVersion3)")</t>
  </si>
  <si>
    <t>source.4 Recurrence [7]</t>
  </si>
  <si>
    <t>=IF(OR(ISERROR(C16)),"needsVersion3",MAP(C16#,LAMBDA(nested,SUM(nested))))</t>
  </si>
  <si>
    <t>5 Fixed point  displayed formulas == build source (8)</t>
  </si>
  <si>
    <t>source.5 Fixed point [1]</t>
  </si>
  <si>
    <t>=FN.FIXPOINT(LAMBDA(x,LET(open,HSTACK(OpeningCash,DROP(x,0,-1)),open+CashFlow+CashRate*(open+x)/2)),SEQUENCE(1,Periods,0,0),Tolerance,IterCap)</t>
  </si>
  <si>
    <t>source.5 Fixed point [2]</t>
  </si>
  <si>
    <t>=HSTACK(OpeningCash,DROP(ClosingCash,0,-1))</t>
  </si>
  <si>
    <t>source.5 Fixed point [3]</t>
  </si>
  <si>
    <t>=CashFlow</t>
  </si>
  <si>
    <t>source.5 Fixed point [4]</t>
  </si>
  <si>
    <t>=CashRate*(CashOpening+ClosingCash)/2</t>
  </si>
  <si>
    <t>source.5 Fixed point [5]</t>
  </si>
  <si>
    <t>=ClosingCash</t>
  </si>
  <si>
    <t>source.5 Fixed point [6]</t>
  </si>
  <si>
    <t>=CashOpening+CashFlow+CashInterest</t>
  </si>
  <si>
    <t>source.5 Fixed point [7]</t>
  </si>
  <si>
    <t>=FixIterations</t>
  </si>
  <si>
    <t>source.5 Fixed point [8]</t>
  </si>
  <si>
    <t>=FixChange</t>
  </si>
  <si>
    <t>6 Scenarios  displayed formulas == build source (4)</t>
  </si>
  <si>
    <t>source.6 Scenarios [1]</t>
  </si>
  <si>
    <t>=Growλ(Assumptions[RevenueY0],Assumptions[Growth]+XLOOKUP("base",Scenarios[Scenario],Scenarios[Growthadd]),Periods)</t>
  </si>
  <si>
    <t>source.6 Scenarios [2]</t>
  </si>
  <si>
    <t>=Revenue_base*(1-Assumptions[COGS%])-Assumptions[Opex]</t>
  </si>
  <si>
    <t>source.6 Scenarios [3]</t>
  </si>
  <si>
    <t>=Growλ(Assumptions[RevenueY0],Assumptions[Growth]+XLOOKUP("upside",Scenarios[Scenario],Scenarios[Growthadd]),Periods)</t>
  </si>
  <si>
    <t>source.6 Scenarios [4]</t>
  </si>
  <si>
    <t>=Revenue_upside*(1-Assumptions[COGS%])-Assumptions[Opex]</t>
  </si>
  <si>
    <t>8 Audit  displayed formulas == build source (7)</t>
  </si>
  <si>
    <t>source.8 Audit [1]</t>
  </si>
  <si>
    <t>=LET(base,INDEX(Assumptions[RevenueY0],1),g,INDEX(Assumptions[Growth],1),curve,LAMBDA(b,rate,b*(1+rate)^SEQUENCE(1,Periods,0,1)),rev,curve(base,g),cost,rev*INDEX(Assumptions[COGS%],1),overhead,INDEX(Assumptions[Opex],1),rev-cost-overhead)</t>
  </si>
  <si>
    <t>source.8 Audit [2]</t>
  </si>
  <si>
    <t>=INDEX(Assumptions[RevenueY0],1)</t>
  </si>
  <si>
    <t>source.8 Audit [3]</t>
  </si>
  <si>
    <t>=INDEX(Assumptions[Growth],1)</t>
  </si>
  <si>
    <t>source.8 Audit [4]</t>
  </si>
  <si>
    <t>=C8*(1+C9)^SEQUENCE(1,Periods,0,1)</t>
  </si>
  <si>
    <t>source.8 Audit [5]</t>
  </si>
  <si>
    <t>=C10#*INDEX(Assumptions[COGS%],1)</t>
  </si>
  <si>
    <t>source.8 Audit [6]</t>
  </si>
  <si>
    <t>=INDEX(Assumptions[Opex],1)</t>
  </si>
  <si>
    <t>source.8 Audit [7]</t>
  </si>
  <si>
    <t>=C10#-C11#-C12</t>
  </si>
  <si>
    <t>Traps  displayed formulas == build source (7)</t>
  </si>
  <si>
    <t>source.Traps [1]</t>
  </si>
  <si>
    <t>=IF(AND(TrapX&gt;0,TrapY&gt;0),1,0)</t>
  </si>
  <si>
    <t>source.Traps [2]</t>
  </si>
  <si>
    <t>=IF((TrapX&gt;0)*(TrapY&gt;0),1,0)</t>
  </si>
  <si>
    <t>source.Traps [3]</t>
  </si>
  <si>
    <t>=MAX(ABS(TrapX))</t>
  </si>
  <si>
    <t>source.Traps [4]</t>
  </si>
  <si>
    <t>=SUM(TrapX&gt;0)</t>
  </si>
  <si>
    <t>source.Traps [5]</t>
  </si>
  <si>
    <t>=SUM(--(TrapX&gt;0))</t>
  </si>
  <si>
    <t>source.Traps [6]</t>
  </si>
  <si>
    <t>=SUMPRODUCT(--(TrapX&gt;0))</t>
  </si>
  <si>
    <t>source.Traps [7]</t>
  </si>
  <si>
    <t>=SUM((TrapX&gt;0)*(TrapY&gt;0))</t>
  </si>
  <si>
    <t>WORST ABSOLUTE DEVIATION (all blocks)</t>
  </si>
  <si>
    <t>verdict</t>
  </si>
  <si>
    <t>68 blocks (58 against the Python values); 8 identities computed in Excel alone, below.</t>
  </si>
  <si>
    <t>harness self-test — FN.DEV's absent-value rule</t>
  </si>
  <si>
    <t>got</t>
  </si>
  <si>
    <t>want</t>
  </si>
  <si>
    <t>equal-and-present -&gt; 0; unequal -&gt; the gap; absent-and-absent -&gt; 0; absent on ONE side -&gt; 1E+99, a deliberate FAIL rather than a skip.</t>
  </si>
  <si>
    <t>Primer  LET, inline LAMBDA and Grow equal the direct row</t>
  </si>
  <si>
    <t>max abs value</t>
  </si>
  <si>
    <t>three constructions of one row, compared in Excel without the fixture</t>
  </si>
  <si>
    <t>Layer 3  Growλ reproduces Revenue</t>
  </si>
  <si>
    <t>the named LAMBDA and the Layer 2 LET are the same computation</t>
  </si>
  <si>
    <t>Layer 4  corkscrew closes</t>
  </si>
  <si>
    <t>the SCAN and the ordinary rows agree</t>
  </si>
  <si>
    <t>Layer 5  fixed-point residual</t>
  </si>
  <si>
    <t>the solver's row satisfies the loop it solves</t>
  </si>
  <si>
    <t>Layer 5  converged inside the cap</t>
  </si>
  <si>
    <t>0 when the last change is within Tolerance and the cap was not reached</t>
  </si>
  <si>
    <t>Layer 6  stacked base equals the Layer 2 spill</t>
  </si>
  <si>
    <t>the scenario copy of the base coordinate and the original agree</t>
  </si>
  <si>
    <t>Layer 7  names counted by kind add up to the list</t>
  </si>
  <si>
    <t>GROUPBY over the name list loses nothing</t>
  </si>
  <si>
    <t>Layer 8  the LET equals its dismantled cells and EBITDA</t>
  </si>
  <si>
    <t>one cell, six cells, and the Layer 2 line item: the same row</t>
  </si>
  <si>
    <t>Name</t>
  </si>
  <si>
    <t>Kind</t>
  </si>
  <si>
    <t>Refers to</t>
  </si>
  <si>
    <t>FN.DEV</t>
  </si>
  <si>
    <t>function</t>
  </si>
  <si>
    <t>=LAMBDA(got, exp, IF(ISNA(exp), IF(ISNA(got), 0, 1E+99), IF(ISNA(got), 1E+99, ABS(got - exp)) ) )</t>
  </si>
  <si>
    <t>FN.FIXPOINT</t>
  </si>
  <si>
    <t>=LAMBDA(step, seed, tol, cap, REDUCE(HSTACK(seed, 0, 1E+300), SEQUENCE(cap), LAMBDA(acc, k, LET(n, COLUMNS(acc) - 2, x, TAKE(acc, 1, n), last, INDEX(acc, 1, n + 2), IF(last &lt;= tol, acc, LET(y, step(x), big, IF(ABS(x) &gt; ABS(y), ABS(x), ABS(y)), denom, IF(big &gt; 1, big, 1), HSTACK(y, k, MAX(ABS(y - x) / denom))))))) )</t>
  </si>
  <si>
    <t>Factorial</t>
  </si>
  <si>
    <t>=LAMBDA(n, IF(n &lt;= 1, 1, n * Factorial(n - 1)))</t>
  </si>
  <si>
    <t>Grow</t>
  </si>
  <si>
    <t>=LAMBDA(base, g, t, base * (1 + g) ^ t)</t>
  </si>
  <si>
    <t>Growλ</t>
  </si>
  <si>
    <t>=LAMBDA(base, rate, n, base * (1 + rate)^SEQUENCE(1, n, 0, 1))</t>
  </si>
  <si>
    <t>axis</t>
  </si>
  <si>
    <t>='1 Timeline'!$C$4</t>
  </si>
  <si>
    <t>='1 Timeline'!$C$5</t>
  </si>
  <si>
    <t>PeriodEnd</t>
  </si>
  <si>
    <t>='1 Timeline'!$C$9#</t>
  </si>
  <si>
    <t>='1 Timeline'!$C$11#</t>
  </si>
  <si>
    <t>line item</t>
  </si>
  <si>
    <t>='2 Spill'!$C$10#</t>
  </si>
  <si>
    <t>='2 Spill'!$C$14#</t>
  </si>
  <si>
    <t>='2 Spill'!$C$18#</t>
  </si>
  <si>
    <t>='2 Spill'!$C$22#</t>
  </si>
  <si>
    <t>='2 Spill'!$C$26#</t>
  </si>
  <si>
    <t>input</t>
  </si>
  <si>
    <t>='4 Recurrence'!$C$4</t>
  </si>
  <si>
    <t>='4 Recurrence'!$C$5:$G$5</t>
  </si>
  <si>
    <t>='4 Recurrence'!$C$7#</t>
  </si>
  <si>
    <t>DebtOpening</t>
  </si>
  <si>
    <t>='4 Recurrence'!$C$10#</t>
  </si>
  <si>
    <t>='5 Fixed point'!$C$4</t>
  </si>
  <si>
    <t>CashRate</t>
  </si>
  <si>
    <t>='5 Fixed point'!$C$5</t>
  </si>
  <si>
    <t>='5 Fixed point'!$C$6</t>
  </si>
  <si>
    <t>='5 Fixed point'!$C$7</t>
  </si>
  <si>
    <t>='5 Fixed point'!$C$8:$G$8</t>
  </si>
  <si>
    <t>FixSolver</t>
  </si>
  <si>
    <t>='5 Fixed point'!$C$11#</t>
  </si>
  <si>
    <t>ClosingCash</t>
  </si>
  <si>
    <t>=TAKE(FixSolver, 1, Periods)</t>
  </si>
  <si>
    <t>FixIterations</t>
  </si>
  <si>
    <t>=INDEX(FixSolver, 1, Periods + 1)</t>
  </si>
  <si>
    <t>FixChange</t>
  </si>
  <si>
    <t>=INDEX(FixSolver, 1, Periods + 2)</t>
  </si>
  <si>
    <t>CashOpening</t>
  </si>
  <si>
    <t>='5 Fixed point'!$C$13#</t>
  </si>
  <si>
    <t>CashInterest</t>
  </si>
  <si>
    <t>='5 Fixed point'!$C$15#</t>
  </si>
  <si>
    <t>scenario copy</t>
  </si>
  <si>
    <t>='6 Scenarios'!$C$6#</t>
  </si>
  <si>
    <t>='6 Scenarios'!$C$10#</t>
  </si>
  <si>
    <t>='6 Scenarios'!$C$15#</t>
  </si>
  <si>
    <t>='6 Scenarios'!$C$19#</t>
  </si>
  <si>
    <t>=Traps!$C$4:$G$4</t>
  </si>
  <si>
    <t>=Traps!$C$5:$G$5</t>
  </si>
  <si>
    <t>CHK.Tol</t>
  </si>
  <si>
    <t>harness</t>
  </si>
  <si>
    <t>=Check!$B$3</t>
  </si>
</sst>
</file>

<file path=xl/styles.xml><?xml version="1.0" encoding="utf-8"?>
<styleSheet xmlns="http://schemas.openxmlformats.org/spreadsheetml/2006/main">
  <numFmts count="4">
    <numFmt numFmtId="164" formatCode="0.0%"/>
    <numFmt numFmtId="165" formatCode="#,##0.00"/>
    <numFmt numFmtId="166" formatCode="yyyy-mm-dd"/>
    <numFmt numFmtId="167" formatCode="0.00E+00"/>
  </numFmts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1F4E79"/>
      <name val="Menlo"/>
      <family val="2"/>
    </font>
    <font>
      <i/>
      <sz val="11"/>
      <color rgb="FF555555"/>
      <name val="Calibri"/>
      <family val="2"/>
      <scheme val="minor"/>
    </font>
    <font>
      <sz val="9"/>
      <color rgb="FF666666"/>
      <name val="Menlo"/>
      <family val="2"/>
    </font>
    <font>
      <sz val="10"/>
      <color rgb="FF0B6E4F"/>
      <name val="Menlo"/>
      <family val="2"/>
    </font>
    <font>
      <b/>
      <sz val="11"/>
      <color rgb="FF0B6E4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164" fontId="0" fillId="2" borderId="0" xfId="0" applyNumberFormat="1" applyFill="1"/>
    <xf numFmtId="0" fontId="1" fillId="0" borderId="0" xfId="0" applyFont="1"/>
    <xf numFmtId="1" fontId="2" fillId="0" borderId="1" xfId="0" applyNumberFormat="1" applyFont="1" applyBorder="1" applyAlignment="1">
      <alignment horizontal="center"/>
    </xf>
    <xf numFmtId="0" fontId="3" fillId="0" borderId="0" xfId="0" applyFont="1"/>
    <xf numFmtId="165" fontId="0" fillId="2" borderId="0" xfId="0" applyNumberFormat="1" applyFill="1"/>
    <xf numFmtId="165" fontId="0" fillId="0" borderId="0" xfId="0" applyNumberFormat="1"/>
    <xf numFmtId="0" fontId="4" fillId="0" borderId="0" xfId="0" applyFont="1"/>
    <xf numFmtId="0" fontId="2" fillId="0" borderId="1" xfId="0" applyFont="1" applyBorder="1"/>
    <xf numFmtId="0" fontId="5" fillId="0" borderId="0" xfId="0" applyFont="1"/>
    <xf numFmtId="1" fontId="0" fillId="0" borderId="0" xfId="0" applyNumberFormat="1"/>
    <xf numFmtId="164" fontId="0" fillId="0" borderId="0" xfId="0" applyNumberFormat="1"/>
    <xf numFmtId="166" fontId="0" fillId="2" borderId="0" xfId="0" applyNumberFormat="1" applyFill="1"/>
    <xf numFmtId="166" fontId="0" fillId="0" borderId="0" xfId="0" applyNumberFormat="1"/>
    <xf numFmtId="0" fontId="6" fillId="0" borderId="0" xfId="0" applyFont="1"/>
    <xf numFmtId="0" fontId="2" fillId="0" borderId="0" xfId="0" applyFont="1"/>
    <xf numFmtId="167" fontId="0" fillId="0" borderId="0" xfId="0" applyNumberFormat="1"/>
    <xf numFmtId="0" fontId="7" fillId="0" borderId="0" xfId="0" applyFont="1" applyAlignment="1">
      <alignment horizontal="center"/>
    </xf>
  </cellXfs>
  <cellStyles count="1">
    <cellStyle name="Normal" xfId="0" builtinId="0"/>
  </cellStyles>
  <dxfs count="4">
    <dxf>
      <numFmt numFmtId="164" formatCode="0.0%"/>
      <fill>
        <patternFill>
          <bgColor rgb="FFFFF2CC"/>
        </patternFill>
      </fill>
    </dxf>
    <dxf>
      <numFmt numFmtId="165" formatCode="#,##0.00"/>
      <fill>
        <patternFill>
          <bgColor rgb="FFFFF2CC"/>
        </patternFill>
      </fill>
    </dxf>
    <dxf>
      <font>
        <color rgb="FF0B6E4F"/>
      </font>
    </dxf>
    <dxf>
      <font>
        <color rgb="FF666666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6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id="1" name="Assumptions" displayName="Assumptions" ref="A6:E9" totalsRowShown="0">
  <autoFilter ref="A6:E9"/>
  <tableColumns count="5">
    <tableColumn id="1" name="Product"/>
    <tableColumn id="2" name="Growth" dataDxfId="0"/>
    <tableColumn id="3" name="Revenue Y0" dataDxfId="1"/>
    <tableColumn id="4" name="COGS %" dataDxfId="0"/>
    <tableColumn id="5" name="Opex" dataDxfId="1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Scenarios" displayName="Scenarios" ref="A20:B22" totalsRowShown="0">
  <autoFilter ref="A20:B22"/>
  <tableColumns count="2">
    <tableColumn id="1" name="Scenario"/>
    <tableColumn id="2" name="Growth add" dataDxfId="0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" name="NameList" displayName="NameList" ref="A18:C54" totalsRowShown="0">
  <autoFilter ref="A18:C54"/>
  <tableColumns count="3">
    <tableColumn id="1" name="Name" dataDxfId="2"/>
    <tableColumn id="2" name="Kind"/>
    <tableColumn id="3" name="Refers to" dataDxfId="3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/>
  </sheetViews>
  <sheetFormatPr defaultRowHeight="15"/>
  <cols>
    <col min="1" max="1" width="34.7109375" customWidth="1"/>
    <col min="2" max="6" width="10.7109375" customWidth="1"/>
    <col min="7" max="7" width="4.7109375" customWidth="1"/>
    <col min="8" max="8" width="70.7109375" customWidth="1"/>
  </cols>
  <sheetData>
    <row r="1" spans="1:8">
      <c r="A1" s="1" t="s">
        <v>1</v>
      </c>
      <c r="B1" s="2">
        <v>0.1</v>
      </c>
      <c r="H1" s="3" t="s">
        <v>0</v>
      </c>
    </row>
    <row r="2" spans="1:8">
      <c r="A2" s="1" t="s">
        <v>2</v>
      </c>
      <c r="B2" s="4" cm="1">
        <f t="array" ref="B2:F2">_xlfn.SEQUENCE(1, 5, 2023)</f>
        <v>0</v>
      </c>
      <c r="C2" s="4">
        <v>0</v>
      </c>
      <c r="D2" s="4">
        <v>0</v>
      </c>
      <c r="E2" s="4">
        <v>0</v>
      </c>
      <c r="F2" s="4">
        <v>0</v>
      </c>
      <c r="H2" s="5" cm="1" t="str">
        <f t="array" ref="H2">_xlfn.FORMULATEXT(B2)</f>
        <v/>
      </c>
    </row>
    <row r="3" spans="1:8">
      <c r="A3" s="6">
        <v>100</v>
      </c>
      <c r="B3" s="7" cm="1">
        <f t="array" ref="B3:F3">A3 * (1 + B1) ^ (_xlfn.ANCHORARRAY(B2) - 2023)</f>
        <v>0</v>
      </c>
      <c r="C3" s="7">
        <v>0</v>
      </c>
      <c r="D3" s="7">
        <v>0</v>
      </c>
      <c r="E3" s="7">
        <v>0</v>
      </c>
      <c r="F3" s="7">
        <v>0</v>
      </c>
      <c r="H3" s="5" cm="1" t="str">
        <f t="array" ref="H3">_xlfn.FORMULATEXT(B3)</f>
        <v/>
      </c>
    </row>
    <row r="4" spans="1:8">
      <c r="A4" s="1" t="s">
        <v>3</v>
      </c>
    </row>
    <row r="5" spans="1:8">
      <c r="A5" s="1" t="s">
        <v>4</v>
      </c>
      <c r="B5" s="6">
        <v>100</v>
      </c>
      <c r="C5" s="6">
        <v>150</v>
      </c>
      <c r="D5" s="6">
        <v>200</v>
      </c>
      <c r="E5" s="6">
        <v>250</v>
      </c>
      <c r="F5" s="6">
        <v>300</v>
      </c>
    </row>
    <row r="6" spans="1:8">
      <c r="A6" s="6">
        <v>1000</v>
      </c>
      <c r="B6" s="7" cm="1">
        <f t="array" ref="B6:F6">_xlfn.SCAN(A6, B5:F5, _xlfn.LAMBDA(_xlpm.balance, _xlpm.repayment, _xlpm.balance - _xlpm.repayment))</f>
        <v>0</v>
      </c>
      <c r="C6" s="7">
        <v>0</v>
      </c>
      <c r="D6" s="7">
        <v>0</v>
      </c>
      <c r="E6" s="7">
        <v>0</v>
      </c>
      <c r="F6" s="7">
        <v>0</v>
      </c>
      <c r="H6" s="5" cm="1" t="str">
        <f t="array" ref="H6">_xlfn.FORMULATEXT(B6)</f>
        <v/>
      </c>
    </row>
    <row r="8" spans="1:8">
      <c r="A8" s="8" t="s">
        <v>5</v>
      </c>
    </row>
    <row r="9" spans="1:8">
      <c r="A9" s="8" t="s">
        <v>6</v>
      </c>
    </row>
    <row r="11" spans="1:8">
      <c r="A11" s="9" t="s">
        <v>7</v>
      </c>
    </row>
    <row r="12" spans="1:8">
      <c r="A12" s="1" t="s">
        <v>8</v>
      </c>
      <c r="B12" s="7" cm="1">
        <f t="array" ref="B12:F12">_xlfn.LET(_xlpm.base, A3, _xlpm.g, B1, _xlpm.t, _xlfn.ANCHORARRAY(B2) - 2023, _xlpm.base * (1 + _xlpm.g) ^ _xlpm.t)</f>
        <v>0</v>
      </c>
      <c r="C12" s="7">
        <v>0</v>
      </c>
      <c r="D12" s="7">
        <v>0</v>
      </c>
      <c r="E12" s="7">
        <v>0</v>
      </c>
      <c r="F12" s="7">
        <v>0</v>
      </c>
      <c r="H12" s="5" cm="1" t="str">
        <f t="array" ref="H12">_xlfn.FORMULATEXT(B12)</f>
        <v/>
      </c>
    </row>
    <row r="13" spans="1:8">
      <c r="A13" s="1" t="s">
        <v>9</v>
      </c>
      <c r="B13" s="7" cm="1">
        <f t="array" ref="B13:F13">_xlfn.LAMBDA(_xlpm.base, _xlpm.g, _xlpm.t, _xlpm.base * (1 + _xlpm.g) ^ _xlpm.t)(A3, B1, _xlfn.ANCHORARRAY(B2) - 2023)</f>
        <v>0</v>
      </c>
      <c r="C13" s="7">
        <v>0</v>
      </c>
      <c r="D13" s="7">
        <v>0</v>
      </c>
      <c r="E13" s="7">
        <v>0</v>
      </c>
      <c r="F13" s="7">
        <v>0</v>
      </c>
      <c r="H13" s="5" cm="1" t="str">
        <f t="array" ref="H13">_xlfn.FORMULATEXT(B13)</f>
        <v/>
      </c>
    </row>
    <row r="14" spans="1:8">
      <c r="A14" s="1" t="s">
        <v>10</v>
      </c>
      <c r="B14" s="7" cm="1">
        <f t="array" ref="B14:F14">Grow(A3, B1, _xlfn.ANCHORARRAY(B2) - 2023)</f>
        <v>0</v>
      </c>
      <c r="C14" s="7">
        <v>0</v>
      </c>
      <c r="D14" s="7">
        <v>0</v>
      </c>
      <c r="E14" s="7">
        <v>0</v>
      </c>
      <c r="F14" s="7">
        <v>0</v>
      </c>
      <c r="H14" s="5" cm="1" t="str">
        <f t="array" ref="H14">_xlfn.FORMULATEXT(B14)</f>
        <v/>
      </c>
    </row>
    <row r="15" spans="1:8">
      <c r="A15" s="10" t="s">
        <v>11</v>
      </c>
    </row>
    <row r="17" spans="1:8">
      <c r="A17" s="9" t="s">
        <v>12</v>
      </c>
    </row>
    <row r="18" spans="1:8">
      <c r="A18" s="1" t="s">
        <v>13</v>
      </c>
      <c r="B18" s="7" cm="1">
        <f t="array" ref="B18:F18">_xlfn.MAP(_xlfn.ANCHORARRAY(B3), _xlfn.LAMBDA(_xlpm.v, ROUND(_xlpm.v, 1)))</f>
        <v>0</v>
      </c>
      <c r="C18" s="7">
        <v>0</v>
      </c>
      <c r="D18" s="7">
        <v>0</v>
      </c>
      <c r="E18" s="7">
        <v>0</v>
      </c>
      <c r="F18" s="7">
        <v>0</v>
      </c>
      <c r="H18" s="5" cm="1" t="str">
        <f t="array" ref="H18">_xlfn.FORMULATEXT(B18)</f>
        <v/>
      </c>
    </row>
    <row r="19" spans="1:8">
      <c r="A19" s="1" t="s">
        <v>14</v>
      </c>
      <c r="B19" s="7" cm="1">
        <f t="array" ref="B19:F19">_xlfn.BYCOL(B5:F6, _xlfn.LAMBDA(_xlpm.amounts, SUM(_xlpm.amounts)))</f>
        <v>0</v>
      </c>
      <c r="C19" s="7">
        <v>0</v>
      </c>
      <c r="D19" s="7">
        <v>0</v>
      </c>
      <c r="E19" s="7">
        <v>0</v>
      </c>
      <c r="F19" s="7">
        <v>0</v>
      </c>
      <c r="H19" s="5" cm="1" t="str">
        <f t="array" ref="H19">_xlfn.FORMULATEXT(B19)</f>
        <v/>
      </c>
    </row>
    <row r="20" spans="1:8">
      <c r="A20" s="1" t="s">
        <v>15</v>
      </c>
      <c r="B20" s="7" cm="1">
        <f t="array" ref="B20">_xlfn.REDUCE(A6, B5:F5, _xlfn.LAMBDA(_xlpm.balance, _xlpm.repayment, _xlpm.balance - _xlpm.repayment))</f>
        <v>0</v>
      </c>
      <c r="H20" s="5" cm="1" t="str">
        <f t="array" ref="H20">_xlfn.FORMULATEXT(B20)</f>
        <v/>
      </c>
    </row>
    <row r="21" spans="1:8">
      <c r="A21" s="1" t="s">
        <v>16</v>
      </c>
      <c r="B21" s="11" cm="1">
        <f t="array" ref="B21:F23">_xlfn.MAKEARRAY(3, 5, _xlfn.LAMBDA(_xlpm.r, _xlpm.c, _xlpm.r * _xlpm.c))</f>
        <v>0</v>
      </c>
      <c r="C21" s="11">
        <v>0</v>
      </c>
      <c r="D21" s="11">
        <v>0</v>
      </c>
      <c r="E21" s="11">
        <v>0</v>
      </c>
      <c r="F21" s="11">
        <v>0</v>
      </c>
      <c r="H21" s="5" cm="1" t="str">
        <f t="array" ref="H21">_xlfn.FORMULATEXT(B21)</f>
        <v/>
      </c>
    </row>
    <row r="22" spans="1:8">
      <c r="B22" s="11">
        <v>0</v>
      </c>
      <c r="C22" s="11">
        <v>0</v>
      </c>
      <c r="D22" s="11">
        <v>0</v>
      </c>
      <c r="E22" s="11">
        <v>0</v>
      </c>
      <c r="F22" s="11">
        <v>0</v>
      </c>
    </row>
    <row r="23" spans="1:8">
      <c r="B23" s="11">
        <v>0</v>
      </c>
      <c r="C23" s="11">
        <v>0</v>
      </c>
      <c r="D23" s="11">
        <v>0</v>
      </c>
      <c r="E23" s="11">
        <v>0</v>
      </c>
      <c r="F23" s="11">
        <v>0</v>
      </c>
    </row>
    <row r="25" spans="1:8">
      <c r="A25" s="1" t="s">
        <v>17</v>
      </c>
      <c r="B25" s="11" cm="1">
        <f t="array" ref="B25">Factorial(5)</f>
        <v>0</v>
      </c>
      <c r="H25" s="5" cm="1" t="str">
        <f t="array" ref="H25">_xlfn.FORMULATEXT(B25)</f>
        <v/>
      </c>
    </row>
    <row r="26" spans="1:8">
      <c r="A26" s="10" t="s">
        <v>18</v>
      </c>
    </row>
    <row r="28" spans="1:8">
      <c r="A28" s="9" t="s">
        <v>19</v>
      </c>
    </row>
    <row r="29" spans="1:8">
      <c r="A29" s="9" t="s">
        <v>20</v>
      </c>
      <c r="B29" s="9" t="s">
        <v>21</v>
      </c>
      <c r="C29" s="9" t="s">
        <v>22</v>
      </c>
      <c r="E29" s="9" t="s">
        <v>28</v>
      </c>
    </row>
    <row r="30" spans="1:8">
      <c r="A30" s="1" t="s">
        <v>23</v>
      </c>
      <c r="B30" s="1" t="s">
        <v>24</v>
      </c>
      <c r="C30" s="6">
        <v>120</v>
      </c>
      <c r="E30" s="11" cm="1">
        <f t="array" ref="E30:G35">_xlfn._xlws.SORT(A30:C35, 3, -1)</f>
        <v>0</v>
      </c>
      <c r="F30" s="11">
        <v>0</v>
      </c>
      <c r="G30" s="11">
        <v>0</v>
      </c>
      <c r="H30" s="5" cm="1" t="str">
        <f t="array" ref="H30">_xlfn.FORMULATEXT(E30)</f>
        <v/>
      </c>
    </row>
    <row r="31" spans="1:8">
      <c r="A31" s="1" t="s">
        <v>25</v>
      </c>
      <c r="B31" s="1" t="s">
        <v>24</v>
      </c>
      <c r="C31" s="6">
        <v>80</v>
      </c>
      <c r="E31" s="11">
        <v>0</v>
      </c>
      <c r="F31" s="11">
        <v>0</v>
      </c>
      <c r="G31" s="11">
        <v>0</v>
      </c>
    </row>
    <row r="32" spans="1:8">
      <c r="A32" s="1" t="s">
        <v>23</v>
      </c>
      <c r="B32" s="1" t="s">
        <v>26</v>
      </c>
      <c r="C32" s="6">
        <v>60</v>
      </c>
      <c r="E32" s="11">
        <v>0</v>
      </c>
      <c r="F32" s="11">
        <v>0</v>
      </c>
      <c r="G32" s="11">
        <v>0</v>
      </c>
    </row>
    <row r="33" spans="1:8">
      <c r="A33" s="1" t="s">
        <v>27</v>
      </c>
      <c r="B33" s="1" t="s">
        <v>24</v>
      </c>
      <c r="C33" s="6">
        <v>150</v>
      </c>
      <c r="E33" s="11">
        <v>0</v>
      </c>
      <c r="F33" s="11">
        <v>0</v>
      </c>
      <c r="G33" s="11">
        <v>0</v>
      </c>
    </row>
    <row r="34" spans="1:8">
      <c r="A34" s="1" t="s">
        <v>25</v>
      </c>
      <c r="B34" s="1" t="s">
        <v>26</v>
      </c>
      <c r="C34" s="6">
        <v>200</v>
      </c>
      <c r="E34" s="11">
        <v>0</v>
      </c>
      <c r="F34" s="11">
        <v>0</v>
      </c>
      <c r="G34" s="11">
        <v>0</v>
      </c>
    </row>
    <row r="35" spans="1:8">
      <c r="A35" s="1" t="s">
        <v>27</v>
      </c>
      <c r="B35" s="1" t="s">
        <v>26</v>
      </c>
      <c r="C35" s="6">
        <v>90</v>
      </c>
      <c r="E35" s="11">
        <v>0</v>
      </c>
      <c r="F35" s="11">
        <v>0</v>
      </c>
      <c r="G35" s="11">
        <v>0</v>
      </c>
    </row>
    <row r="37" spans="1:8">
      <c r="A37" s="1" t="s">
        <v>29</v>
      </c>
      <c r="B37" s="1" cm="1">
        <f t="array" ref="B37:B39">_xlfn.UNIQUE(A30:A35)</f>
        <v>0</v>
      </c>
      <c r="H37" s="5" cm="1" t="str">
        <f t="array" ref="H37">_xlfn.FORMULATEXT(B37)</f>
        <v/>
      </c>
    </row>
    <row r="38" spans="1:8">
      <c r="B38" s="1">
        <v>0</v>
      </c>
    </row>
    <row r="39" spans="1:8">
      <c r="B39" s="1">
        <v>0</v>
      </c>
    </row>
    <row r="41" spans="1:8">
      <c r="A41" s="1" t="s">
        <v>30</v>
      </c>
      <c r="B41" s="11" cm="1">
        <f t="array" ref="B41:D43">_xlfn._xlws.FILTER(A30:C35, C30:C35 &gt;= 100)</f>
        <v>0</v>
      </c>
      <c r="C41" s="11">
        <v>0</v>
      </c>
      <c r="D41" s="11">
        <v>0</v>
      </c>
      <c r="H41" s="5" cm="1" t="str">
        <f t="array" ref="H41">_xlfn.FORMULATEXT(B41)</f>
        <v/>
      </c>
    </row>
    <row r="42" spans="1:8">
      <c r="B42" s="11">
        <v>0</v>
      </c>
      <c r="C42" s="11">
        <v>0</v>
      </c>
      <c r="D42" s="11">
        <v>0</v>
      </c>
    </row>
    <row r="43" spans="1:8">
      <c r="B43" s="11">
        <v>0</v>
      </c>
      <c r="C43" s="11">
        <v>0</v>
      </c>
      <c r="D43" s="11">
        <v>0</v>
      </c>
    </row>
    <row r="45" spans="1:8">
      <c r="A45" s="1" t="s">
        <v>31</v>
      </c>
      <c r="B45" s="11" cm="1">
        <f t="array" ref="B45">_xlfn.SEQUENCE(1, 5)</f>
        <v>0</v>
      </c>
      <c r="C45" s="1" t="s">
        <v>32</v>
      </c>
      <c r="H45" s="5" cm="1" t="str">
        <f t="array" ref="H45">_xlfn.FORMULATEXT(B45)</f>
        <v/>
      </c>
    </row>
    <row r="46" spans="1:8">
      <c r="A46" s="8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34.7109375" customWidth="1"/>
    <col min="2" max="5" width="12.7109375" customWidth="1"/>
    <col min="7" max="7" width="70.7109375" customWidth="1"/>
  </cols>
  <sheetData>
    <row r="1" spans="1:7">
      <c r="A1" s="3" t="s">
        <v>34</v>
      </c>
    </row>
    <row r="2" spans="1:7">
      <c r="A2" s="8" t="s">
        <v>35</v>
      </c>
    </row>
    <row r="3" spans="1:7">
      <c r="A3" s="8" t="s">
        <v>36</v>
      </c>
    </row>
    <row r="6" spans="1:7">
      <c r="A6" t="s">
        <v>20</v>
      </c>
      <c r="B6" t="s">
        <v>37</v>
      </c>
      <c r="C6" t="s">
        <v>38</v>
      </c>
      <c r="D6" t="s">
        <v>39</v>
      </c>
      <c r="E6" t="s">
        <v>40</v>
      </c>
    </row>
    <row r="7" spans="1:7">
      <c r="A7" t="s">
        <v>23</v>
      </c>
      <c r="B7" s="2">
        <v>0.1</v>
      </c>
      <c r="C7" s="6">
        <v>100</v>
      </c>
      <c r="D7" s="2">
        <v>0.6</v>
      </c>
      <c r="E7" s="6">
        <v>20</v>
      </c>
    </row>
    <row r="8" spans="1:7">
      <c r="A8" t="s">
        <v>25</v>
      </c>
      <c r="B8" s="2">
        <v>0.05</v>
      </c>
      <c r="C8" s="6">
        <v>200</v>
      </c>
      <c r="D8" s="2">
        <v>0.5</v>
      </c>
      <c r="E8" s="6">
        <v>30</v>
      </c>
    </row>
    <row r="9" spans="1:7">
      <c r="A9" t="s">
        <v>27</v>
      </c>
      <c r="B9" s="2">
        <v>0</v>
      </c>
      <c r="C9" s="6">
        <v>400</v>
      </c>
      <c r="D9" s="2">
        <v>0.4</v>
      </c>
      <c r="E9" s="6">
        <v>40</v>
      </c>
    </row>
    <row r="11" spans="1:7">
      <c r="G11" s="9" t="s">
        <v>41</v>
      </c>
    </row>
    <row r="12" spans="1:7">
      <c r="A12" s="1" t="s">
        <v>42</v>
      </c>
      <c r="B12" s="12" cm="1">
        <f t="array" ref="B12:B14">Assumptions[Growth]</f>
        <v>0</v>
      </c>
      <c r="G12" s="5" cm="1" t="str">
        <f t="array" ref="G12">_xlfn.FORMULATEXT(B12)</f>
        <v/>
      </c>
    </row>
    <row r="13" spans="1:7">
      <c r="B13" s="12">
        <v>0</v>
      </c>
    </row>
    <row r="14" spans="1:7">
      <c r="B14" s="12">
        <v>0</v>
      </c>
    </row>
    <row r="16" spans="1:7">
      <c r="A16" s="1" t="s">
        <v>43</v>
      </c>
      <c r="B16" s="12" cm="1">
        <f t="array" ref="B16">$B$7</f>
        <v>0</v>
      </c>
      <c r="G16" s="5" cm="1" t="str">
        <f t="array" ref="G16">_xlfn.FORMULATEXT(B16)</f>
        <v/>
      </c>
    </row>
    <row r="19" spans="1:2">
      <c r="A19" s="9" t="s">
        <v>44</v>
      </c>
    </row>
    <row r="20" spans="1:2">
      <c r="A20" t="s">
        <v>45</v>
      </c>
      <c r="B20" t="s">
        <v>46</v>
      </c>
    </row>
    <row r="21" spans="1:2">
      <c r="A21" t="s">
        <v>47</v>
      </c>
      <c r="B21" s="2">
        <v>0</v>
      </c>
    </row>
    <row r="22" spans="1:2">
      <c r="A22" t="s">
        <v>48</v>
      </c>
      <c r="B22" s="2">
        <v>0.05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44.7109375" customWidth="1"/>
    <col min="2" max="2" width="4.7109375" customWidth="1"/>
    <col min="3" max="7" width="11.7109375" customWidth="1"/>
    <col min="8" max="8" width="4.7109375" customWidth="1"/>
    <col min="9" max="9" width="70.7109375" customWidth="1"/>
  </cols>
  <sheetData>
    <row r="1" spans="1:9">
      <c r="A1" s="3" t="s">
        <v>49</v>
      </c>
    </row>
    <row r="2" spans="1:9">
      <c r="A2" s="8" t="s">
        <v>50</v>
      </c>
    </row>
    <row r="3" spans="1:9">
      <c r="I3" s="9" t="s">
        <v>41</v>
      </c>
    </row>
    <row r="4" spans="1:9">
      <c r="A4" s="1" t="s">
        <v>51</v>
      </c>
      <c r="C4" s="13">
        <v>45291</v>
      </c>
    </row>
    <row r="5" spans="1:9">
      <c r="A5" s="1" t="s">
        <v>52</v>
      </c>
      <c r="C5" s="11">
        <v>5</v>
      </c>
    </row>
    <row r="7" spans="1:9">
      <c r="A7" s="1" t="s">
        <v>53</v>
      </c>
      <c r="C7" s="14" cm="1">
        <f t="array" ref="C7:G7">EOMONTH(StartDate, _xlfn.SEQUENCE(1, Periods, 0, 1))</f>
        <v>0</v>
      </c>
      <c r="D7" s="14">
        <v>0</v>
      </c>
      <c r="E7" s="14">
        <v>0</v>
      </c>
      <c r="F7" s="14">
        <v>0</v>
      </c>
      <c r="G7" s="14">
        <v>0</v>
      </c>
      <c r="I7" s="5" cm="1" t="str">
        <f t="array" ref="I7">_xlfn.FORMULATEXT(C7)</f>
        <v/>
      </c>
    </row>
    <row r="9" spans="1:9">
      <c r="A9" s="1" t="s">
        <v>54</v>
      </c>
      <c r="C9" s="14" cm="1">
        <f t="array" ref="C9:G9">EOMONTH(StartDate, _xlfn.SEQUENCE(1, Periods, 0, 12))</f>
        <v>0</v>
      </c>
      <c r="D9" s="14">
        <v>0</v>
      </c>
      <c r="E9" s="14">
        <v>0</v>
      </c>
      <c r="F9" s="14">
        <v>0</v>
      </c>
      <c r="G9" s="14">
        <v>0</v>
      </c>
      <c r="I9" s="5" cm="1" t="str">
        <f t="array" ref="I9">_xlfn.FORMULATEXT(C9)</f>
        <v/>
      </c>
    </row>
    <row r="11" spans="1:9">
      <c r="A11" s="1" t="s">
        <v>55</v>
      </c>
      <c r="C11" s="11" cm="1">
        <f t="array" ref="C11:G11">YEAR(PeriodEnd)</f>
        <v>0</v>
      </c>
      <c r="D11" s="11">
        <v>0</v>
      </c>
      <c r="E11" s="11">
        <v>0</v>
      </c>
      <c r="F11" s="11">
        <v>0</v>
      </c>
      <c r="G11" s="11">
        <v>0</v>
      </c>
      <c r="I11" s="5" cm="1" t="str">
        <f t="array" ref="I11">_xlfn.FORMULATEXT(C11)</f>
        <v/>
      </c>
    </row>
    <row r="13" spans="1:9">
      <c r="A13" s="1" t="s">
        <v>56</v>
      </c>
      <c r="C13" s="11" cm="1">
        <f t="array" ref="C13:G13">Years + 1</f>
        <v>0</v>
      </c>
      <c r="D13" s="11">
        <v>0</v>
      </c>
      <c r="E13" s="11">
        <v>0</v>
      </c>
      <c r="F13" s="11">
        <v>0</v>
      </c>
      <c r="G13" s="11">
        <v>0</v>
      </c>
      <c r="I13" s="5" cm="1" t="str">
        <f t="array" ref="I13">_xlfn.FORMULATEXT(C13)</f>
        <v/>
      </c>
    </row>
    <row r="15" spans="1:9">
      <c r="A15" s="8" t="s">
        <v>57</v>
      </c>
    </row>
    <row r="16" spans="1:9">
      <c r="A16" s="8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30.7109375" customWidth="1"/>
    <col min="2" max="2" width="9.7109375" customWidth="1"/>
    <col min="3" max="7" width="10.7109375" customWidth="1"/>
    <col min="8" max="8" width="4.7109375" customWidth="1"/>
    <col min="9" max="9" width="70.7109375" customWidth="1"/>
  </cols>
  <sheetData>
    <row r="1" spans="1:9">
      <c r="A1" s="3" t="s">
        <v>59</v>
      </c>
    </row>
    <row r="2" spans="1:9">
      <c r="A2" s="8" t="s">
        <v>60</v>
      </c>
    </row>
    <row r="3" spans="1:9">
      <c r="A3" s="8" t="s">
        <v>61</v>
      </c>
    </row>
    <row r="8" spans="1:9">
      <c r="A8" s="9" t="s">
        <v>62</v>
      </c>
      <c r="C8" s="4" cm="1">
        <f t="array" ref="C8:G8">Years</f>
        <v>0</v>
      </c>
      <c r="D8" s="4">
        <v>0</v>
      </c>
      <c r="E8" s="4">
        <v>0</v>
      </c>
      <c r="F8" s="4">
        <v>0</v>
      </c>
      <c r="G8" s="4">
        <v>0</v>
      </c>
      <c r="I8" s="9" t="s">
        <v>41</v>
      </c>
    </row>
    <row r="10" spans="1:9">
      <c r="A10" s="15" t="s">
        <v>63</v>
      </c>
      <c r="B10" s="1" cm="1">
        <f t="array" ref="B10:B12">Assumptions[Product]</f>
        <v>0</v>
      </c>
      <c r="C10" s="7" cm="1">
        <f t="array" ref="C10:G12">_xlfn.LET( _xlpm.base, Assumptions[Revenue Y0], _xlpm.g, Assumptions[Growth], _xlpm.base * (1 + _xlpm.g)^_xlfn.SEQUENCE(1, Periods, 0, 1) )</f>
        <v>0</v>
      </c>
      <c r="D10" s="7">
        <v>0</v>
      </c>
      <c r="E10" s="7">
        <v>0</v>
      </c>
      <c r="F10" s="7">
        <v>0</v>
      </c>
      <c r="G10" s="7">
        <v>0</v>
      </c>
      <c r="I10" s="5" cm="1" t="str">
        <f t="array" ref="I10">_xlfn.FORMULATEXT(C10)</f>
        <v/>
      </c>
    </row>
    <row r="11" spans="1:9">
      <c r="B11" s="1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9">
      <c r="B12" s="1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</row>
    <row r="14" spans="1:9">
      <c r="A14" s="15" t="s">
        <v>64</v>
      </c>
      <c r="B14" s="1" cm="1">
        <f t="array" ref="B14:B16">Assumptions[Product]</f>
        <v>0</v>
      </c>
      <c r="C14" s="7" cm="1">
        <f t="array" ref="C14:G16">Revenue * Assumptions[COGS %]</f>
        <v>0</v>
      </c>
      <c r="D14" s="7">
        <v>0</v>
      </c>
      <c r="E14" s="7">
        <v>0</v>
      </c>
      <c r="F14" s="7">
        <v>0</v>
      </c>
      <c r="G14" s="7">
        <v>0</v>
      </c>
      <c r="I14" s="5" cm="1" t="str">
        <f t="array" ref="I14">_xlfn.FORMULATEXT(C14)</f>
        <v/>
      </c>
    </row>
    <row r="15" spans="1:9">
      <c r="B15" s="1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9">
      <c r="B16" s="1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</row>
    <row r="18" spans="1:9">
      <c r="A18" s="15" t="s">
        <v>65</v>
      </c>
      <c r="B18" s="1" cm="1">
        <f t="array" ref="B18:B20">Assumptions[Product]</f>
        <v>0</v>
      </c>
      <c r="C18" s="7" cm="1">
        <f t="array" ref="C18:G20">Revenue - COGS</f>
        <v>0</v>
      </c>
      <c r="D18" s="7">
        <v>0</v>
      </c>
      <c r="E18" s="7">
        <v>0</v>
      </c>
      <c r="F18" s="7">
        <v>0</v>
      </c>
      <c r="G18" s="7">
        <v>0</v>
      </c>
      <c r="I18" s="5" cm="1" t="str">
        <f t="array" ref="I18">_xlfn.FORMULATEXT(C18)</f>
        <v/>
      </c>
    </row>
    <row r="19" spans="1:9">
      <c r="B19" s="1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</row>
    <row r="20" spans="1:9">
      <c r="B20" s="1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</row>
    <row r="22" spans="1:9">
      <c r="A22" s="15" t="s">
        <v>40</v>
      </c>
      <c r="B22" s="1" cm="1">
        <f t="array" ref="B22:B24">Assumptions[Product]</f>
        <v>0</v>
      </c>
      <c r="C22" s="7" cm="1">
        <f t="array" ref="C22:G24">Assumptions[Opex] * _xlfn.SEQUENCE(1, Periods, 1, 0)</f>
        <v>0</v>
      </c>
      <c r="D22" s="7">
        <v>0</v>
      </c>
      <c r="E22" s="7">
        <v>0</v>
      </c>
      <c r="F22" s="7">
        <v>0</v>
      </c>
      <c r="G22" s="7">
        <v>0</v>
      </c>
      <c r="I22" s="5" cm="1" t="str">
        <f t="array" ref="I22">_xlfn.FORMULATEXT(C22)</f>
        <v/>
      </c>
    </row>
    <row r="23" spans="1:9">
      <c r="B23" s="1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</row>
    <row r="24" spans="1:9">
      <c r="B24" s="1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</row>
    <row r="26" spans="1:9">
      <c r="A26" s="15" t="s">
        <v>66</v>
      </c>
      <c r="B26" s="1" cm="1">
        <f t="array" ref="B26:B28">Assumptions[Product]</f>
        <v>0</v>
      </c>
      <c r="C26" s="7" cm="1">
        <f t="array" ref="C26:G28">Gross - Opex</f>
        <v>0</v>
      </c>
      <c r="D26" s="7">
        <v>0</v>
      </c>
      <c r="E26" s="7">
        <v>0</v>
      </c>
      <c r="F26" s="7">
        <v>0</v>
      </c>
      <c r="G26" s="7">
        <v>0</v>
      </c>
      <c r="I26" s="5" cm="1" t="str">
        <f t="array" ref="I26">_xlfn.FORMULATEXT(C26)</f>
        <v/>
      </c>
    </row>
    <row r="27" spans="1:9">
      <c r="B27" s="1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</row>
    <row r="28" spans="1:9">
      <c r="B28" s="1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</row>
    <row r="30" spans="1:9">
      <c r="A30" s="16" t="s">
        <v>67</v>
      </c>
      <c r="C30" s="7" cm="1">
        <f t="array" ref="C30:G30">_xlfn.BYCOL(Revenue, _xlfn.LAMBDA(_xlpm.amounts, SUM(_xlpm.amounts)))</f>
        <v>0</v>
      </c>
      <c r="D30" s="7">
        <v>0</v>
      </c>
      <c r="E30" s="7">
        <v>0</v>
      </c>
      <c r="F30" s="7">
        <v>0</v>
      </c>
      <c r="G30" s="7">
        <v>0</v>
      </c>
      <c r="I30" s="5" cm="1" t="str">
        <f t="array" ref="I30">_xlfn.FORMULATEXT(C30)</f>
        <v/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30.7109375" customWidth="1"/>
    <col min="2" max="2" width="9.7109375" customWidth="1"/>
    <col min="3" max="7" width="10.7109375" customWidth="1"/>
    <col min="8" max="8" width="4.7109375" customWidth="1"/>
    <col min="9" max="9" width="70.7109375" customWidth="1"/>
  </cols>
  <sheetData>
    <row r="1" spans="1:9">
      <c r="A1" s="3" t="s">
        <v>68</v>
      </c>
    </row>
    <row r="2" spans="1:9">
      <c r="A2" s="8" t="s">
        <v>69</v>
      </c>
    </row>
    <row r="4" spans="1:9">
      <c r="I4" s="9" t="s">
        <v>41</v>
      </c>
    </row>
    <row r="5" spans="1:9">
      <c r="A5" s="1" t="s">
        <v>70</v>
      </c>
      <c r="B5" s="1" cm="1">
        <f t="array" ref="B5:B7">Assumptions[Product]</f>
        <v>0</v>
      </c>
      <c r="C5" s="7" cm="1">
        <f t="array" ref="C5:G7">Growλ(Assumptions[Revenue Y0], Assumptions[Growth], Periods)</f>
        <v>0</v>
      </c>
      <c r="D5" s="7">
        <v>0</v>
      </c>
      <c r="E5" s="7">
        <v>0</v>
      </c>
      <c r="F5" s="7">
        <v>0</v>
      </c>
      <c r="G5" s="7">
        <v>0</v>
      </c>
      <c r="I5" s="5" cm="1" t="str">
        <f t="array" ref="I5">_xlfn.FORMULATEXT(C5)</f>
        <v/>
      </c>
    </row>
    <row r="6" spans="1:9">
      <c r="B6" s="1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</row>
    <row r="7" spans="1:9">
      <c r="B7" s="1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</row>
    <row r="9" spans="1:9">
      <c r="A9" s="1" t="s">
        <v>71</v>
      </c>
      <c r="C9" s="7" cm="1">
        <f t="array" ref="C9:G9">Growλ(100, 10%, 5)</f>
        <v>0</v>
      </c>
      <c r="D9" s="7">
        <v>0</v>
      </c>
      <c r="E9" s="7">
        <v>0</v>
      </c>
      <c r="F9" s="7">
        <v>0</v>
      </c>
      <c r="G9" s="7">
        <v>0</v>
      </c>
      <c r="I9" s="5" cm="1" t="str">
        <f t="array" ref="I9">_xlfn.FORMULATEXT(C9)</f>
        <v/>
      </c>
    </row>
    <row r="11" spans="1:9">
      <c r="A11" s="10" t="s">
        <v>72</v>
      </c>
    </row>
    <row r="12" spans="1:9">
      <c r="A12" s="8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40.7109375" customWidth="1"/>
    <col min="2" max="2" width="4.7109375" customWidth="1"/>
    <col min="3" max="7" width="10.7109375" customWidth="1"/>
    <col min="8" max="8" width="4.7109375" customWidth="1"/>
    <col min="9" max="9" width="70.7109375" customWidth="1"/>
  </cols>
  <sheetData>
    <row r="1" spans="1:9">
      <c r="A1" s="3" t="s">
        <v>74</v>
      </c>
    </row>
    <row r="2" spans="1:9">
      <c r="A2" s="8" t="s">
        <v>75</v>
      </c>
    </row>
    <row r="3" spans="1:9">
      <c r="I3" s="9" t="s">
        <v>41</v>
      </c>
    </row>
    <row r="4" spans="1:9">
      <c r="A4" s="1" t="s">
        <v>76</v>
      </c>
      <c r="C4" s="6">
        <v>500</v>
      </c>
    </row>
    <row r="5" spans="1:9">
      <c r="A5" s="1" t="s">
        <v>77</v>
      </c>
      <c r="C5" s="6">
        <v>50</v>
      </c>
      <c r="D5" s="6">
        <v>75</v>
      </c>
      <c r="E5" s="6">
        <v>100</v>
      </c>
      <c r="F5" s="6">
        <v>125</v>
      </c>
      <c r="G5" s="6">
        <v>150</v>
      </c>
    </row>
    <row r="7" spans="1:9">
      <c r="A7" s="15" t="s">
        <v>78</v>
      </c>
      <c r="C7" s="7" cm="1">
        <f t="array" ref="C7:G7">_xlfn.SCAN(OpeningDebt, Repayments, _xlfn.LAMBDA(_xlpm.bal, _xlpm.rep, _xlpm.bal - _xlpm.rep))</f>
        <v>0</v>
      </c>
      <c r="D7" s="7">
        <v>0</v>
      </c>
      <c r="E7" s="7">
        <v>0</v>
      </c>
      <c r="F7" s="7">
        <v>0</v>
      </c>
      <c r="G7" s="7">
        <v>0</v>
      </c>
      <c r="I7" s="5" cm="1" t="str">
        <f t="array" ref="I7">_xlfn.FORMULATEXT(C7)</f>
        <v/>
      </c>
    </row>
    <row r="9" spans="1:9">
      <c r="A9" s="9" t="s">
        <v>79</v>
      </c>
    </row>
    <row r="10" spans="1:9">
      <c r="A10" s="15" t="s">
        <v>80</v>
      </c>
      <c r="C10" s="7" cm="1">
        <f t="array" ref="C10:G10">_xlfn.HSTACK(OpeningDebt, _xlfn.DROP(ClosingDebt, 0, -1))</f>
        <v>0</v>
      </c>
      <c r="D10" s="7">
        <v>0</v>
      </c>
      <c r="E10" s="7">
        <v>0</v>
      </c>
      <c r="F10" s="7">
        <v>0</v>
      </c>
      <c r="G10" s="7">
        <v>0</v>
      </c>
      <c r="I10" s="5" cm="1" t="str">
        <f t="array" ref="I10">_xlfn.FORMULATEXT(C10)</f>
        <v/>
      </c>
    </row>
    <row r="11" spans="1:9">
      <c r="A11" s="15" t="s">
        <v>81</v>
      </c>
      <c r="C11" s="7" cm="1">
        <f t="array" ref="C11:G11">Repayments</f>
        <v>0</v>
      </c>
      <c r="D11" s="7">
        <v>0</v>
      </c>
      <c r="E11" s="7">
        <v>0</v>
      </c>
      <c r="F11" s="7">
        <v>0</v>
      </c>
      <c r="G11" s="7">
        <v>0</v>
      </c>
      <c r="I11" s="5" cm="1" t="str">
        <f t="array" ref="I11">_xlfn.FORMULATEXT(C11)</f>
        <v/>
      </c>
    </row>
    <row r="12" spans="1:9">
      <c r="A12" s="15" t="s">
        <v>82</v>
      </c>
      <c r="C12" s="7" cm="1">
        <f t="array" ref="C12:G12">DebtOpening - Repayments</f>
        <v>0</v>
      </c>
      <c r="D12" s="7">
        <v>0</v>
      </c>
      <c r="E12" s="7">
        <v>0</v>
      </c>
      <c r="F12" s="7">
        <v>0</v>
      </c>
      <c r="G12" s="7">
        <v>0</v>
      </c>
      <c r="I12" s="5" cm="1" t="str">
        <f t="array" ref="I12">_xlfn.FORMULATEXT(C12)</f>
        <v/>
      </c>
    </row>
    <row r="14" spans="1:9">
      <c r="A14" s="9" t="s">
        <v>83</v>
      </c>
    </row>
    <row r="15" spans="1:9">
      <c r="A15" s="8" t="s">
        <v>84</v>
      </c>
    </row>
    <row r="16" spans="1:9">
      <c r="A16" s="1" t="s">
        <v>85</v>
      </c>
      <c r="C16" s="7" cm="1">
        <f t="array" ref="C16">_xlfn.SCAN({1}, {2,3,4}, _xlfn.LAMBDA(_xlpm.acc, _xlpm.cv, _xlfn.VSTACK(_xlpm.acc, _xlpm.cv)))</f>
        <v>0</v>
      </c>
      <c r="I16" s="5" cm="1" t="str">
        <f t="array" ref="I16">_xlfn.FORMULATEXT(C16)</f>
        <v/>
      </c>
    </row>
    <row r="17" spans="1:9">
      <c r="A17" s="1" t="s">
        <v>86</v>
      </c>
      <c r="C17" s="1" cm="1">
        <f t="array" ref="C17">IF(OR(ISERROR(C16)), "#CALC! (default version)", "nested arrays (Compatibility Version 3)")</f>
        <v>0</v>
      </c>
      <c r="I17" s="5" cm="1" t="str">
        <f t="array" ref="I17">_xlfn.FORMULATEXT(C17)</f>
        <v/>
      </c>
    </row>
    <row r="18" spans="1:9">
      <c r="A18" s="1" t="s">
        <v>87</v>
      </c>
      <c r="C18" s="11" cm="1">
        <f t="array" ref="C18:E18">IF(OR(ISERROR(C16)), "needs Version 3", _xlfn.MAP(_xlfn.ANCHORARRAY(C16), _xlfn.LAMBDA(_xlpm.nested, SUM(_xlpm.nested))))</f>
        <v>0</v>
      </c>
      <c r="D18" s="11">
        <v>0</v>
      </c>
      <c r="E18" s="11">
        <v>0</v>
      </c>
      <c r="I18" s="5" cm="1" t="str">
        <f t="array" ref="I18">_xlfn.FORMULATEXT(C18)</f>
        <v/>
      </c>
    </row>
    <row r="20" spans="1:9">
      <c r="A20" s="9" t="s">
        <v>88</v>
      </c>
    </row>
    <row r="21" spans="1:9">
      <c r="A21" s="1" t="s">
        <v>89</v>
      </c>
      <c r="C21" s="1" t="s">
        <v>90</v>
      </c>
    </row>
    <row r="22" spans="1:9">
      <c r="A22" s="1" t="s">
        <v>91</v>
      </c>
      <c r="C22" s="1" t="s">
        <v>92</v>
      </c>
      <c r="D22" s="1" t="s">
        <v>93</v>
      </c>
      <c r="E22" s="1" t="s">
        <v>94</v>
      </c>
    </row>
    <row r="23" spans="1:9">
      <c r="A23" s="8" t="s">
        <v>95</v>
      </c>
    </row>
    <row r="24" spans="1:9">
      <c r="A24" s="8" t="s">
        <v>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40.7109375" customWidth="1"/>
    <col min="2" max="2" width="4.7109375" customWidth="1"/>
    <col min="3" max="8" width="10.7109375" customWidth="1"/>
    <col min="9" max="9" width="12.7109375" customWidth="1"/>
    <col min="10" max="10" width="4.7109375" customWidth="1"/>
    <col min="11" max="11" width="70.7109375" customWidth="1"/>
  </cols>
  <sheetData>
    <row r="1" spans="1:11">
      <c r="A1" s="3" t="s">
        <v>97</v>
      </c>
    </row>
    <row r="2" spans="1:11">
      <c r="A2" s="8" t="s">
        <v>98</v>
      </c>
    </row>
    <row r="3" spans="1:11">
      <c r="A3" s="8" t="s">
        <v>99</v>
      </c>
    </row>
    <row r="4" spans="1:11">
      <c r="A4" s="1" t="s">
        <v>100</v>
      </c>
      <c r="C4" s="6">
        <v>100</v>
      </c>
      <c r="K4" s="9" t="s">
        <v>41</v>
      </c>
    </row>
    <row r="5" spans="1:11">
      <c r="A5" s="1" t="s">
        <v>101</v>
      </c>
      <c r="C5" s="2">
        <v>0.1</v>
      </c>
    </row>
    <row r="6" spans="1:11">
      <c r="A6" s="1" t="s">
        <v>102</v>
      </c>
      <c r="C6" s="17">
        <v>1E-12</v>
      </c>
    </row>
    <row r="7" spans="1:11">
      <c r="A7" s="1" t="s">
        <v>103</v>
      </c>
      <c r="C7" s="11">
        <v>100</v>
      </c>
    </row>
    <row r="8" spans="1:11">
      <c r="A8" s="1" t="s">
        <v>104</v>
      </c>
      <c r="C8" s="6">
        <v>100</v>
      </c>
      <c r="D8" s="6">
        <v>100</v>
      </c>
      <c r="E8" s="6">
        <v>100</v>
      </c>
      <c r="F8" s="6">
        <v>100</v>
      </c>
      <c r="G8" s="6">
        <v>100</v>
      </c>
    </row>
    <row r="10" spans="1:11">
      <c r="A10" s="9" t="s">
        <v>105</v>
      </c>
      <c r="C10" s="4" cm="1">
        <f t="array" ref="C10:G10">Years</f>
        <v>0</v>
      </c>
      <c r="D10" s="4">
        <v>0</v>
      </c>
      <c r="E10" s="4">
        <v>0</v>
      </c>
      <c r="F10" s="4">
        <v>0</v>
      </c>
      <c r="G10" s="4">
        <v>0</v>
      </c>
      <c r="H10" s="9" t="s">
        <v>106</v>
      </c>
      <c r="I10" s="9" t="s">
        <v>107</v>
      </c>
    </row>
    <row r="11" spans="1:11">
      <c r="C11" s="7" cm="1">
        <f t="array" ref="C11:I11">FN.FIXPOINT( _xlfn.LAMBDA(_xlpm.x, _xlfn.LET(_xlpm.open, _xlfn.HSTACK(OpeningCash, _xlfn.DROP(_xlpm.x, 0, -1)), _xlpm.open + CashFlow + CashRate * (_xlpm.open + _xlpm.x) / 2)), _xlfn.SEQUENCE(1, Periods, 0, 0), Tolerance, IterCap)</f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K11" s="5" cm="1" t="str">
        <f t="array" ref="K11">_xlfn.FORMULATEXT(C11)</f>
        <v/>
      </c>
    </row>
    <row r="13" spans="1:11">
      <c r="A13" s="15" t="s">
        <v>80</v>
      </c>
      <c r="C13" s="7" cm="1">
        <f t="array" ref="C13:G13">_xlfn.HSTACK(OpeningCash, _xlfn.DROP(ClosingCash, 0, -1))</f>
        <v>0</v>
      </c>
      <c r="D13" s="7">
        <v>0</v>
      </c>
      <c r="E13" s="7">
        <v>0</v>
      </c>
      <c r="F13" s="7">
        <v>0</v>
      </c>
      <c r="G13" s="7">
        <v>0</v>
      </c>
      <c r="K13" s="5" cm="1" t="str">
        <f t="array" ref="K13">_xlfn.FORMULATEXT(C13)</f>
        <v/>
      </c>
    </row>
    <row r="14" spans="1:11">
      <c r="A14" s="15" t="s">
        <v>108</v>
      </c>
      <c r="C14" s="7" cm="1">
        <f t="array" ref="C14:G14">CashFlow</f>
        <v>0</v>
      </c>
      <c r="D14" s="7">
        <v>0</v>
      </c>
      <c r="E14" s="7">
        <v>0</v>
      </c>
      <c r="F14" s="7">
        <v>0</v>
      </c>
      <c r="G14" s="7">
        <v>0</v>
      </c>
      <c r="K14" s="5" cm="1" t="str">
        <f t="array" ref="K14">_xlfn.FORMULATEXT(C14)</f>
        <v/>
      </c>
    </row>
    <row r="15" spans="1:11">
      <c r="A15" s="15" t="s">
        <v>109</v>
      </c>
      <c r="C15" s="7" cm="1">
        <f t="array" ref="C15:G15">CashRate * (CashOpening + ClosingCash) / 2</f>
        <v>0</v>
      </c>
      <c r="D15" s="7">
        <v>0</v>
      </c>
      <c r="E15" s="7">
        <v>0</v>
      </c>
      <c r="F15" s="7">
        <v>0</v>
      </c>
      <c r="G15" s="7">
        <v>0</v>
      </c>
      <c r="K15" s="5" cm="1" t="str">
        <f t="array" ref="K15">_xlfn.FORMULATEXT(C15)</f>
        <v/>
      </c>
    </row>
    <row r="16" spans="1:11">
      <c r="A16" s="15" t="s">
        <v>110</v>
      </c>
      <c r="C16" s="7" cm="1">
        <f t="array" ref="C16:G16">ClosingCash</f>
        <v>0</v>
      </c>
      <c r="D16" s="7">
        <v>0</v>
      </c>
      <c r="E16" s="7">
        <v>0</v>
      </c>
      <c r="F16" s="7">
        <v>0</v>
      </c>
      <c r="G16" s="7">
        <v>0</v>
      </c>
      <c r="K16" s="5" cm="1" t="str">
        <f t="array" ref="K16">_xlfn.FORMULATEXT(C16)</f>
        <v/>
      </c>
    </row>
    <row r="17" spans="1:11">
      <c r="A17" s="15" t="s">
        <v>111</v>
      </c>
      <c r="C17" s="7" cm="1">
        <f t="array" ref="C17:G17">CashOpening + CashFlow + CashInterest</f>
        <v>0</v>
      </c>
      <c r="D17" s="7">
        <v>0</v>
      </c>
      <c r="E17" s="7">
        <v>0</v>
      </c>
      <c r="F17" s="7">
        <v>0</v>
      </c>
      <c r="G17" s="7">
        <v>0</v>
      </c>
      <c r="K17" s="5" cm="1" t="str">
        <f t="array" ref="K17">_xlfn.FORMULATEXT(C17)</f>
        <v/>
      </c>
    </row>
    <row r="19" spans="1:11">
      <c r="A19" s="1" t="s">
        <v>112</v>
      </c>
      <c r="C19" s="11" cm="1">
        <f t="array" ref="C19">FixIterations</f>
        <v>0</v>
      </c>
      <c r="K19" s="5" cm="1" t="str">
        <f t="array" ref="K19">_xlfn.FORMULATEXT(C19)</f>
        <v/>
      </c>
    </row>
    <row r="20" spans="1:11">
      <c r="A20" s="1" t="s">
        <v>107</v>
      </c>
      <c r="C20" s="17" cm="1">
        <f t="array" ref="C20">FixChange</f>
        <v>0</v>
      </c>
      <c r="K20" s="5" cm="1" t="str">
        <f t="array" ref="K20">_xlfn.FORMULATEXT(C20)</f>
        <v/>
      </c>
    </row>
    <row r="22" spans="1:11">
      <c r="A22" s="8" t="s">
        <v>113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8.7109375" customWidth="1"/>
    <col min="2" max="2" width="9.7109375" customWidth="1"/>
    <col min="3" max="7" width="10.7109375" customWidth="1"/>
    <col min="8" max="8" width="4.7109375" customWidth="1"/>
    <col min="9" max="9" width="70.7109375" customWidth="1"/>
  </cols>
  <sheetData>
    <row r="1" spans="1:9">
      <c r="A1" s="3" t="s">
        <v>114</v>
      </c>
    </row>
    <row r="2" spans="1:9">
      <c r="A2" s="8" t="s">
        <v>115</v>
      </c>
    </row>
    <row r="3" spans="1:9">
      <c r="A3" s="8" t="s">
        <v>116</v>
      </c>
    </row>
    <row r="4" spans="1:9">
      <c r="I4" s="9" t="s">
        <v>41</v>
      </c>
    </row>
    <row r="5" spans="1:9">
      <c r="A5" s="9" t="s">
        <v>117</v>
      </c>
    </row>
    <row r="6" spans="1:9">
      <c r="A6" s="15" t="s">
        <v>118</v>
      </c>
      <c r="B6" s="1" cm="1">
        <f t="array" ref="B6:B8">Assumptions[Product]</f>
        <v>0</v>
      </c>
      <c r="C6" s="7" cm="1">
        <f t="array" ref="C6:G8">Growλ(Assumptions[Revenue Y0], Assumptions[Growth] + _xlfn.XLOOKUP("base", Scenarios[Scenario], Scenarios[Growth add]), Periods)</f>
        <v>0</v>
      </c>
      <c r="D6" s="7">
        <v>0</v>
      </c>
      <c r="E6" s="7">
        <v>0</v>
      </c>
      <c r="F6" s="7">
        <v>0</v>
      </c>
      <c r="G6" s="7">
        <v>0</v>
      </c>
      <c r="I6" s="5" cm="1" t="str">
        <f t="array" ref="I6">_xlfn.FORMULATEXT(C6)</f>
        <v/>
      </c>
    </row>
    <row r="7" spans="1:9">
      <c r="B7" s="1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</row>
    <row r="8" spans="1:9">
      <c r="B8" s="1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</row>
    <row r="10" spans="1:9">
      <c r="A10" s="15" t="s">
        <v>119</v>
      </c>
      <c r="B10" s="1" cm="1">
        <f t="array" ref="B10:B12">Assumptions[Product]</f>
        <v>0</v>
      </c>
      <c r="C10" s="7" cm="1">
        <f t="array" ref="C10:G12">Revenue_base * (1 - Assumptions[COGS %]) - Assumptions[Opex]</f>
        <v>0</v>
      </c>
      <c r="D10" s="7">
        <v>0</v>
      </c>
      <c r="E10" s="7">
        <v>0</v>
      </c>
      <c r="F10" s="7">
        <v>0</v>
      </c>
      <c r="G10" s="7">
        <v>0</v>
      </c>
      <c r="I10" s="5" cm="1" t="str">
        <f t="array" ref="I10">_xlfn.FORMULATEXT(C10)</f>
        <v/>
      </c>
    </row>
    <row r="11" spans="1:9">
      <c r="B11" s="1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</row>
    <row r="12" spans="1:9">
      <c r="B12" s="1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</row>
    <row r="14" spans="1:9">
      <c r="A14" s="9" t="s">
        <v>120</v>
      </c>
    </row>
    <row r="15" spans="1:9">
      <c r="A15" s="15" t="s">
        <v>121</v>
      </c>
      <c r="B15" s="1" cm="1">
        <f t="array" ref="B15:B17">Assumptions[Product]</f>
        <v>0</v>
      </c>
      <c r="C15" s="7" cm="1">
        <f t="array" ref="C15:G17">Growλ(Assumptions[Revenue Y0], Assumptions[Growth] + _xlfn.XLOOKUP("upside", Scenarios[Scenario], Scenarios[Growth add]), Periods)</f>
        <v>0</v>
      </c>
      <c r="D15" s="7">
        <v>0</v>
      </c>
      <c r="E15" s="7">
        <v>0</v>
      </c>
      <c r="F15" s="7">
        <v>0</v>
      </c>
      <c r="G15" s="7">
        <v>0</v>
      </c>
      <c r="I15" s="5" cm="1" t="str">
        <f t="array" ref="I15">_xlfn.FORMULATEXT(C15)</f>
        <v/>
      </c>
    </row>
    <row r="16" spans="1:9">
      <c r="B16" s="1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</row>
    <row r="17" spans="1:9">
      <c r="B17" s="1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</row>
    <row r="19" spans="1:9">
      <c r="A19" s="15" t="s">
        <v>122</v>
      </c>
      <c r="B19" s="1" cm="1">
        <f t="array" ref="B19:B21">Assumptions[Product]</f>
        <v>0</v>
      </c>
      <c r="C19" s="7" cm="1">
        <f t="array" ref="C19:G21">Revenue_upside * (1 - Assumptions[COGS %]) - Assumptions[Opex]</f>
        <v>0</v>
      </c>
      <c r="D19" s="7">
        <v>0</v>
      </c>
      <c r="E19" s="7">
        <v>0</v>
      </c>
      <c r="F19" s="7">
        <v>0</v>
      </c>
      <c r="G19" s="7">
        <v>0</v>
      </c>
      <c r="I19" s="5" cm="1" t="str">
        <f t="array" ref="I19">_xlfn.FORMULATEXT(C19)</f>
        <v/>
      </c>
    </row>
    <row r="20" spans="1:9">
      <c r="B20" s="1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</row>
    <row r="21" spans="1:9">
      <c r="B21" s="1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54"/>
  <sheetViews>
    <sheetView workbookViewId="0"/>
  </sheetViews>
  <sheetFormatPr defaultRowHeight="15"/>
  <cols>
    <col min="1" max="1" width="16.7109375" customWidth="1"/>
    <col min="2" max="2" width="14.7109375" customWidth="1"/>
    <col min="3" max="3" width="90.7109375" customWidth="1"/>
  </cols>
  <sheetData>
    <row r="1" spans="1:4">
      <c r="A1" s="3" t="s">
        <v>123</v>
      </c>
    </row>
    <row r="2" spans="1:4">
      <c r="A2" s="8" t="s">
        <v>124</v>
      </c>
    </row>
    <row r="3" spans="1:4">
      <c r="A3" s="8" t="s">
        <v>125</v>
      </c>
    </row>
    <row r="5" spans="1:4">
      <c r="A5" s="9" t="s">
        <v>126</v>
      </c>
      <c r="D5" s="9" t="s">
        <v>41</v>
      </c>
    </row>
    <row r="6" spans="1:4">
      <c r="A6" s="11" cm="1">
        <f t="array" ref="A6:B12">_xlfn.GROUPBY(NameList[Kind], NameList[Name], _xleta.COUNTA, , 0)</f>
        <v>0</v>
      </c>
      <c r="B6" s="11">
        <v>0</v>
      </c>
      <c r="D6" s="5" cm="1">
        <f t="array" ref="D6">_xlfn.FORMULATEXT(A6)</f>
        <v>0</v>
      </c>
    </row>
    <row r="7" spans="1:4">
      <c r="A7" s="11">
        <v>0</v>
      </c>
      <c r="B7" s="11">
        <v>0</v>
      </c>
    </row>
    <row r="8" spans="1:4">
      <c r="A8" s="11">
        <v>0</v>
      </c>
      <c r="B8" s="11">
        <v>0</v>
      </c>
    </row>
    <row r="9" spans="1:4">
      <c r="A9" s="11">
        <v>0</v>
      </c>
      <c r="B9" s="11">
        <v>0</v>
      </c>
    </row>
    <row r="10" spans="1:4">
      <c r="A10" s="11">
        <v>0</v>
      </c>
      <c r="B10" s="11">
        <v>0</v>
      </c>
    </row>
    <row r="11" spans="1:4">
      <c r="A11" s="11">
        <v>0</v>
      </c>
      <c r="B11" s="11">
        <v>0</v>
      </c>
    </row>
    <row r="12" spans="1:4">
      <c r="A12" s="11">
        <v>0</v>
      </c>
      <c r="B12" s="11">
        <v>0</v>
      </c>
    </row>
    <row r="14" spans="1:4">
      <c r="A14" s="16" t="s">
        <v>127</v>
      </c>
      <c r="B14" s="11" cm="1">
        <f t="array" ref="B14">ROWS(NameList[Name])</f>
        <v>0</v>
      </c>
    </row>
    <row r="15" spans="1:4">
      <c r="A15" s="8" t="s">
        <v>128</v>
      </c>
    </row>
    <row r="18" spans="1:3">
      <c r="A18" t="s">
        <v>501</v>
      </c>
      <c r="B18" t="s">
        <v>502</v>
      </c>
      <c r="C18" t="s">
        <v>503</v>
      </c>
    </row>
    <row r="19" spans="1:3">
      <c r="A19" s="15" t="s">
        <v>504</v>
      </c>
      <c r="B19" s="1" t="s">
        <v>505</v>
      </c>
      <c r="C19" s="10" t="s">
        <v>506</v>
      </c>
    </row>
    <row r="20" spans="1:3">
      <c r="A20" s="15" t="s">
        <v>507</v>
      </c>
      <c r="B20" s="1" t="s">
        <v>505</v>
      </c>
      <c r="C20" s="10" t="s">
        <v>508</v>
      </c>
    </row>
    <row r="21" spans="1:3">
      <c r="A21" s="15" t="s">
        <v>509</v>
      </c>
      <c r="B21" s="1" t="s">
        <v>505</v>
      </c>
      <c r="C21" s="10" t="s">
        <v>510</v>
      </c>
    </row>
    <row r="22" spans="1:3">
      <c r="A22" s="15" t="s">
        <v>511</v>
      </c>
      <c r="B22" s="1" t="s">
        <v>505</v>
      </c>
      <c r="C22" s="10" t="s">
        <v>512</v>
      </c>
    </row>
    <row r="23" spans="1:3">
      <c r="A23" s="15" t="s">
        <v>513</v>
      </c>
      <c r="B23" s="1" t="s">
        <v>505</v>
      </c>
      <c r="C23" s="10" t="s">
        <v>514</v>
      </c>
    </row>
    <row r="24" spans="1:3">
      <c r="A24" s="15" t="s">
        <v>51</v>
      </c>
      <c r="B24" s="1" t="s">
        <v>515</v>
      </c>
      <c r="C24" s="10" t="s">
        <v>516</v>
      </c>
    </row>
    <row r="25" spans="1:3">
      <c r="A25" s="15" t="s">
        <v>52</v>
      </c>
      <c r="B25" s="1" t="s">
        <v>515</v>
      </c>
      <c r="C25" s="10" t="s">
        <v>517</v>
      </c>
    </row>
    <row r="26" spans="1:3">
      <c r="A26" s="15" t="s">
        <v>518</v>
      </c>
      <c r="B26" s="1" t="s">
        <v>515</v>
      </c>
      <c r="C26" s="10" t="s">
        <v>519</v>
      </c>
    </row>
    <row r="27" spans="1:3">
      <c r="A27" s="15" t="s">
        <v>55</v>
      </c>
      <c r="B27" s="1" t="s">
        <v>515</v>
      </c>
      <c r="C27" s="10" t="s">
        <v>520</v>
      </c>
    </row>
    <row r="28" spans="1:3">
      <c r="A28" s="15" t="s">
        <v>63</v>
      </c>
      <c r="B28" s="1" t="s">
        <v>521</v>
      </c>
      <c r="C28" s="10" t="s">
        <v>522</v>
      </c>
    </row>
    <row r="29" spans="1:3">
      <c r="A29" s="15" t="s">
        <v>64</v>
      </c>
      <c r="B29" s="1" t="s">
        <v>521</v>
      </c>
      <c r="C29" s="10" t="s">
        <v>523</v>
      </c>
    </row>
    <row r="30" spans="1:3">
      <c r="A30" s="15" t="s">
        <v>65</v>
      </c>
      <c r="B30" s="1" t="s">
        <v>521</v>
      </c>
      <c r="C30" s="10" t="s">
        <v>524</v>
      </c>
    </row>
    <row r="31" spans="1:3">
      <c r="A31" s="15" t="s">
        <v>40</v>
      </c>
      <c r="B31" s="1" t="s">
        <v>521</v>
      </c>
      <c r="C31" s="10" t="s">
        <v>525</v>
      </c>
    </row>
    <row r="32" spans="1:3">
      <c r="A32" s="15" t="s">
        <v>66</v>
      </c>
      <c r="B32" s="1" t="s">
        <v>521</v>
      </c>
      <c r="C32" s="10" t="s">
        <v>526</v>
      </c>
    </row>
    <row r="33" spans="1:3">
      <c r="A33" s="15" t="s">
        <v>76</v>
      </c>
      <c r="B33" s="1" t="s">
        <v>527</v>
      </c>
      <c r="C33" s="10" t="s">
        <v>528</v>
      </c>
    </row>
    <row r="34" spans="1:3">
      <c r="A34" s="15" t="s">
        <v>77</v>
      </c>
      <c r="B34" s="1" t="s">
        <v>527</v>
      </c>
      <c r="C34" s="10" t="s">
        <v>529</v>
      </c>
    </row>
    <row r="35" spans="1:3">
      <c r="A35" s="15" t="s">
        <v>78</v>
      </c>
      <c r="B35" s="1" t="s">
        <v>521</v>
      </c>
      <c r="C35" s="10" t="s">
        <v>530</v>
      </c>
    </row>
    <row r="36" spans="1:3">
      <c r="A36" s="15" t="s">
        <v>531</v>
      </c>
      <c r="B36" s="1" t="s">
        <v>521</v>
      </c>
      <c r="C36" s="10" t="s">
        <v>532</v>
      </c>
    </row>
    <row r="37" spans="1:3">
      <c r="A37" s="15" t="s">
        <v>100</v>
      </c>
      <c r="B37" s="1" t="s">
        <v>527</v>
      </c>
      <c r="C37" s="10" t="s">
        <v>533</v>
      </c>
    </row>
    <row r="38" spans="1:3">
      <c r="A38" s="15" t="s">
        <v>534</v>
      </c>
      <c r="B38" s="1" t="s">
        <v>527</v>
      </c>
      <c r="C38" s="10" t="s">
        <v>535</v>
      </c>
    </row>
    <row r="39" spans="1:3">
      <c r="A39" s="15" t="s">
        <v>102</v>
      </c>
      <c r="B39" s="1" t="s">
        <v>527</v>
      </c>
      <c r="C39" s="10" t="s">
        <v>536</v>
      </c>
    </row>
    <row r="40" spans="1:3">
      <c r="A40" s="15" t="s">
        <v>103</v>
      </c>
      <c r="B40" s="1" t="s">
        <v>527</v>
      </c>
      <c r="C40" s="10" t="s">
        <v>537</v>
      </c>
    </row>
    <row r="41" spans="1:3">
      <c r="A41" s="15" t="s">
        <v>104</v>
      </c>
      <c r="B41" s="1" t="s">
        <v>527</v>
      </c>
      <c r="C41" s="10" t="s">
        <v>538</v>
      </c>
    </row>
    <row r="42" spans="1:3">
      <c r="A42" s="15" t="s">
        <v>539</v>
      </c>
      <c r="B42" s="1" t="s">
        <v>521</v>
      </c>
      <c r="C42" s="10" t="s">
        <v>540</v>
      </c>
    </row>
    <row r="43" spans="1:3">
      <c r="A43" s="15" t="s">
        <v>541</v>
      </c>
      <c r="B43" s="1" t="s">
        <v>521</v>
      </c>
      <c r="C43" s="10" t="s">
        <v>542</v>
      </c>
    </row>
    <row r="44" spans="1:3">
      <c r="A44" s="15" t="s">
        <v>543</v>
      </c>
      <c r="B44" s="1" t="s">
        <v>521</v>
      </c>
      <c r="C44" s="10" t="s">
        <v>544</v>
      </c>
    </row>
    <row r="45" spans="1:3">
      <c r="A45" s="15" t="s">
        <v>545</v>
      </c>
      <c r="B45" s="1" t="s">
        <v>521</v>
      </c>
      <c r="C45" s="10" t="s">
        <v>546</v>
      </c>
    </row>
    <row r="46" spans="1:3">
      <c r="A46" s="15" t="s">
        <v>547</v>
      </c>
      <c r="B46" s="1" t="s">
        <v>521</v>
      </c>
      <c r="C46" s="10" t="s">
        <v>548</v>
      </c>
    </row>
    <row r="47" spans="1:3">
      <c r="A47" s="15" t="s">
        <v>549</v>
      </c>
      <c r="B47" s="1" t="s">
        <v>521</v>
      </c>
      <c r="C47" s="10" t="s">
        <v>550</v>
      </c>
    </row>
    <row r="48" spans="1:3">
      <c r="A48" s="15" t="s">
        <v>118</v>
      </c>
      <c r="B48" s="1" t="s">
        <v>551</v>
      </c>
      <c r="C48" s="10" t="s">
        <v>552</v>
      </c>
    </row>
    <row r="49" spans="1:3">
      <c r="A49" s="15" t="s">
        <v>119</v>
      </c>
      <c r="B49" s="1" t="s">
        <v>551</v>
      </c>
      <c r="C49" s="10" t="s">
        <v>553</v>
      </c>
    </row>
    <row r="50" spans="1:3">
      <c r="A50" s="15" t="s">
        <v>121</v>
      </c>
      <c r="B50" s="1" t="s">
        <v>551</v>
      </c>
      <c r="C50" s="10" t="s">
        <v>554</v>
      </c>
    </row>
    <row r="51" spans="1:3">
      <c r="A51" s="15" t="s">
        <v>122</v>
      </c>
      <c r="B51" s="1" t="s">
        <v>551</v>
      </c>
      <c r="C51" s="10" t="s">
        <v>555</v>
      </c>
    </row>
    <row r="52" spans="1:3">
      <c r="A52" s="15" t="s">
        <v>141</v>
      </c>
      <c r="B52" s="1" t="s">
        <v>527</v>
      </c>
      <c r="C52" s="10" t="s">
        <v>556</v>
      </c>
    </row>
    <row r="53" spans="1:3">
      <c r="A53" s="15" t="s">
        <v>142</v>
      </c>
      <c r="B53" s="1" t="s">
        <v>527</v>
      </c>
      <c r="C53" s="10" t="s">
        <v>557</v>
      </c>
    </row>
    <row r="54" spans="1:3">
      <c r="A54" s="15" t="s">
        <v>558</v>
      </c>
      <c r="B54" s="1" t="s">
        <v>559</v>
      </c>
      <c r="C54" s="10" t="s">
        <v>560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34.7109375" customWidth="1"/>
    <col min="2" max="2" width="4.7109375" customWidth="1"/>
    <col min="3" max="7" width="10.7109375" customWidth="1"/>
    <col min="8" max="8" width="4.7109375" customWidth="1"/>
    <col min="9" max="9" width="70.7109375" customWidth="1"/>
  </cols>
  <sheetData>
    <row r="1" spans="1:9">
      <c r="A1" s="3" t="s">
        <v>129</v>
      </c>
    </row>
    <row r="2" spans="1:9">
      <c r="A2" s="8" t="s">
        <v>130</v>
      </c>
    </row>
    <row r="3" spans="1:9">
      <c r="A3" s="8" t="s">
        <v>131</v>
      </c>
    </row>
    <row r="4" spans="1:9">
      <c r="I4" s="9" t="s">
        <v>41</v>
      </c>
    </row>
    <row r="5" spans="1:9">
      <c r="A5" s="16" t="s">
        <v>132</v>
      </c>
      <c r="C5" s="7" cm="1">
        <f t="array" ref="C5:G5">_xlfn.LET(_xlpm.base, INDEX(Assumptions[Revenue Y0], 1), _xlpm.g, INDEX(Assumptions[Growth], 1), _xlpm.curve, _xlfn.LAMBDA(_xlpm.b, _xlpm.rate, _xlpm.b * (1 + _xlpm.rate) ^ _xlfn.SEQUENCE(1, Periods, 0, 1)), _xlpm.rev, _xlpm.curve(_xlpm.base, _xlpm.g), _xlpm.cost, _xlpm.rev * INDEX(Assumptions[COGS %], 1), _xlpm.overhead, INDEX(Assumptions[Opex], 1), _xlpm.rev - _xlpm.cost - _xlpm.overhead)</f>
        <v>0</v>
      </c>
      <c r="D5" s="7">
        <v>0</v>
      </c>
      <c r="E5" s="7">
        <v>0</v>
      </c>
      <c r="F5" s="7">
        <v>0</v>
      </c>
      <c r="G5" s="7">
        <v>0</v>
      </c>
      <c r="I5" s="5" cm="1" t="str">
        <f t="array" ref="I5">_xlfn.FORMULATEXT(C5)</f>
        <v/>
      </c>
    </row>
    <row r="7" spans="1:9">
      <c r="A7" s="9" t="s">
        <v>133</v>
      </c>
    </row>
    <row r="8" spans="1:9">
      <c r="A8" s="15" t="s">
        <v>47</v>
      </c>
      <c r="C8" s="7" cm="1">
        <f t="array" ref="C8">INDEX(Assumptions[Revenue Y0], 1)</f>
        <v>0</v>
      </c>
      <c r="I8" s="5" cm="1" t="str">
        <f t="array" ref="I8">_xlfn.FORMULATEXT(C8)</f>
        <v/>
      </c>
    </row>
    <row r="9" spans="1:9">
      <c r="A9" s="15" t="s">
        <v>134</v>
      </c>
      <c r="C9" s="12" cm="1">
        <f t="array" ref="C9">INDEX(Assumptions[Growth], 1)</f>
        <v>0</v>
      </c>
      <c r="I9" s="5" cm="1" t="str">
        <f t="array" ref="I9">_xlfn.FORMULATEXT(C9)</f>
        <v/>
      </c>
    </row>
    <row r="10" spans="1:9">
      <c r="A10" s="15" t="s">
        <v>135</v>
      </c>
      <c r="C10" s="7" cm="1">
        <f t="array" ref="C10:G10">C8 * (1 + C9) ^ _xlfn.SEQUENCE(1, Periods, 0, 1)</f>
        <v>0</v>
      </c>
      <c r="D10" s="7">
        <v>0</v>
      </c>
      <c r="E10" s="7">
        <v>0</v>
      </c>
      <c r="F10" s="7">
        <v>0</v>
      </c>
      <c r="G10" s="7">
        <v>0</v>
      </c>
      <c r="I10" s="5" cm="1" t="str">
        <f t="array" ref="I10">_xlfn.FORMULATEXT(C10)</f>
        <v/>
      </c>
    </row>
    <row r="11" spans="1:9">
      <c r="A11" s="15" t="s">
        <v>136</v>
      </c>
      <c r="C11" s="7" cm="1">
        <f t="array" ref="C11:G11">_xlfn.ANCHORARRAY(C10) * INDEX(Assumptions[COGS %], 1)</f>
        <v>0</v>
      </c>
      <c r="D11" s="7">
        <v>0</v>
      </c>
      <c r="E11" s="7">
        <v>0</v>
      </c>
      <c r="F11" s="7">
        <v>0</v>
      </c>
      <c r="G11" s="7">
        <v>0</v>
      </c>
      <c r="I11" s="5" cm="1" t="str">
        <f t="array" ref="I11">_xlfn.FORMULATEXT(C11)</f>
        <v/>
      </c>
    </row>
    <row r="12" spans="1:9">
      <c r="A12" s="15" t="s">
        <v>137</v>
      </c>
      <c r="C12" s="7" cm="1">
        <f t="array" ref="C12">INDEX(Assumptions[Opex], 1)</f>
        <v>0</v>
      </c>
      <c r="I12" s="5" cm="1" t="str">
        <f t="array" ref="I12">_xlfn.FORMULATEXT(C12)</f>
        <v/>
      </c>
    </row>
    <row r="13" spans="1:9">
      <c r="A13" s="15" t="s">
        <v>138</v>
      </c>
      <c r="C13" s="7" cm="1">
        <f t="array" ref="C13:G13">_xlfn.ANCHORARRAY(C10) - _xlfn.ANCHORARRAY(C11) - C12</f>
        <v>0</v>
      </c>
      <c r="D13" s="7">
        <v>0</v>
      </c>
      <c r="E13" s="7">
        <v>0</v>
      </c>
      <c r="F13" s="7">
        <v>0</v>
      </c>
      <c r="G13" s="7">
        <v>0</v>
      </c>
      <c r="I13" s="5" cm="1" t="str">
        <f t="array" ref="I13">_xlfn.FORMULATEXT(C13)</f>
        <v/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46.7109375" customWidth="1"/>
    <col min="2" max="2" width="4.7109375" customWidth="1"/>
    <col min="3" max="7" width="10.7109375" customWidth="1"/>
    <col min="8" max="8" width="4.7109375" customWidth="1"/>
    <col min="9" max="9" width="70.7109375" customWidth="1"/>
  </cols>
  <sheetData>
    <row r="1" spans="1:9">
      <c r="A1" s="3" t="s">
        <v>139</v>
      </c>
    </row>
    <row r="2" spans="1:9">
      <c r="A2" s="8" t="s">
        <v>140</v>
      </c>
    </row>
    <row r="3" spans="1:9">
      <c r="I3" s="9" t="s">
        <v>41</v>
      </c>
    </row>
    <row r="4" spans="1:9">
      <c r="A4" s="1" t="s">
        <v>141</v>
      </c>
      <c r="C4" s="6">
        <v>3</v>
      </c>
      <c r="D4" s="6">
        <v>-1</v>
      </c>
      <c r="E4" s="6">
        <v>4</v>
      </c>
      <c r="F4" s="6">
        <v>-1</v>
      </c>
      <c r="G4" s="6">
        <v>5</v>
      </c>
    </row>
    <row r="5" spans="1:9">
      <c r="A5" s="1" t="s">
        <v>142</v>
      </c>
      <c r="C5" s="6">
        <v>2</v>
      </c>
      <c r="D5" s="6">
        <v>7</v>
      </c>
      <c r="E5" s="6">
        <v>-1</v>
      </c>
      <c r="F5" s="6">
        <v>8</v>
      </c>
      <c r="G5" s="6">
        <v>2</v>
      </c>
    </row>
    <row r="7" spans="1:9">
      <c r="A7" s="9" t="s">
        <v>143</v>
      </c>
    </row>
    <row r="8" spans="1:9">
      <c r="A8" s="1" t="s">
        <v>144</v>
      </c>
      <c r="C8" s="11" cm="1">
        <f t="array" ref="C8">IF(AND(TrapX &gt; 0, TrapY &gt; 0), 1, 0)</f>
        <v>0</v>
      </c>
      <c r="I8" s="5" cm="1" t="str">
        <f t="array" ref="I8">_xlfn.FORMULATEXT(C8)</f>
        <v/>
      </c>
    </row>
    <row r="9" spans="1:9">
      <c r="A9" s="1" t="s">
        <v>145</v>
      </c>
      <c r="C9" s="11" cm="1">
        <f t="array" ref="C9:G9">IF((TrapX &gt; 0) * (TrapY &gt; 0), 1, 0)</f>
        <v>0</v>
      </c>
      <c r="D9" s="11">
        <v>0</v>
      </c>
      <c r="E9" s="11">
        <v>0</v>
      </c>
      <c r="F9" s="11">
        <v>0</v>
      </c>
      <c r="G9" s="11">
        <v>0</v>
      </c>
      <c r="I9" s="5" cm="1" t="str">
        <f t="array" ref="I9">_xlfn.FORMULATEXT(C9)</f>
        <v/>
      </c>
    </row>
    <row r="11" spans="1:9">
      <c r="A11" s="9" t="s">
        <v>146</v>
      </c>
    </row>
    <row r="12" spans="1:9">
      <c r="A12" s="1" t="s">
        <v>147</v>
      </c>
      <c r="E12" s="11">
        <f>MAX(ABS(TrapX))</f>
        <v>0</v>
      </c>
      <c r="I12" s="5" cm="1" t="str">
        <f t="array" ref="I12">_xlfn.FORMULATEXT(E12)</f>
        <v/>
      </c>
    </row>
    <row r="13" spans="1:9">
      <c r="A13" s="1" t="s">
        <v>148</v>
      </c>
      <c r="E13" s="11" cm="1">
        <f t="array" ref="E13">MAX(ABS(TrapX))</f>
        <v>0</v>
      </c>
      <c r="I13" s="5" cm="1" t="str">
        <f t="array" ref="I13">_xlfn.FORMULATEXT(E13)</f>
        <v/>
      </c>
    </row>
    <row r="15" spans="1:9">
      <c r="A15" s="9" t="s">
        <v>149</v>
      </c>
    </row>
    <row r="16" spans="1:9">
      <c r="A16" s="1" t="s">
        <v>150</v>
      </c>
      <c r="E16" s="11" cm="1">
        <f t="array" ref="E16">SUM(TrapX &gt; 0)</f>
        <v>0</v>
      </c>
      <c r="I16" s="5" cm="1" t="str">
        <f t="array" ref="I16">_xlfn.FORMULATEXT(E16)</f>
        <v/>
      </c>
    </row>
    <row r="17" spans="1:9">
      <c r="A17" s="1" t="s">
        <v>151</v>
      </c>
      <c r="E17" s="11" cm="1">
        <f t="array" ref="E17">SUM(--(TrapX &gt; 0))</f>
        <v>0</v>
      </c>
      <c r="I17" s="5" cm="1" t="str">
        <f t="array" ref="I17">_xlfn.FORMULATEXT(E17)</f>
        <v/>
      </c>
    </row>
    <row r="18" spans="1:9">
      <c r="A18" s="1" t="s">
        <v>152</v>
      </c>
      <c r="E18" s="11" cm="1">
        <f t="array" ref="E18">SUMPRODUCT(--(TrapX &gt; 0))</f>
        <v>0</v>
      </c>
      <c r="I18" s="5" cm="1" t="str">
        <f t="array" ref="I18">_xlfn.FORMULATEXT(E18)</f>
        <v/>
      </c>
    </row>
    <row r="19" spans="1:9">
      <c r="A19" s="1" t="s">
        <v>153</v>
      </c>
      <c r="E19" s="11" cm="1">
        <f t="array" ref="E19">SUM((TrapX &gt; 0) * (TrapY &gt; 0))</f>
        <v>0</v>
      </c>
      <c r="I19" s="5" cm="1" t="str">
        <f t="array" ref="I19">_xlfn.FORMULATEXT(E19)</f>
        <v/>
      </c>
    </row>
    <row r="20" spans="1:9">
      <c r="A20" s="1" t="s">
        <v>154</v>
      </c>
      <c r="E20" s="11">
        <f>SUM((TrapX &gt; 0) * (TrapY &gt; 0))</f>
        <v>0</v>
      </c>
      <c r="I20" s="5" cm="1" t="str">
        <f t="array" ref="I20">_xlfn.FORMULATEXT(E20)</f>
        <v/>
      </c>
    </row>
    <row r="22" spans="1:9">
      <c r="A22" s="8" t="s">
        <v>155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T479"/>
  <sheetViews>
    <sheetView workbookViewId="0"/>
  </sheetViews>
  <sheetFormatPr defaultRowHeight="15"/>
  <cols>
    <col min="1" max="1" width="58.7109375" customWidth="1"/>
    <col min="2" max="26" width="12.7109375" customWidth="1"/>
  </cols>
  <sheetData>
    <row r="1" spans="1:8">
      <c r="A1" s="3" t="s">
        <v>156</v>
      </c>
    </row>
    <row r="2" spans="1:8">
      <c r="A2" s="8" t="s">
        <v>157</v>
      </c>
    </row>
    <row r="3" spans="1:8">
      <c r="A3" s="1" t="s">
        <v>158</v>
      </c>
      <c r="B3" s="17">
        <v>1E-09</v>
      </c>
    </row>
    <row r="4" spans="1:8">
      <c r="A4" s="9" t="s">
        <v>477</v>
      </c>
      <c r="B4" s="17" cm="1">
        <f t="array" ref="B4">MAX(C6, C23, C28, C33, C38, C43, C48, C53, C58, C63, C68, C73, C80, C85, C95, C105, C112, C119, C126, C131, C138, C143, C148, C153, C158, C163, C170, C177, C184, C191, C198, C203, C210, C215, C220, C225, C230, C235, C240, C245, C250, C255, C262, C269, C276, C283, C288, C293, C298, C303, C308, C313, C318, C323, C328, C333, C338, C343, C348, C367, C373, C381, C391, C397, C408, C420, C428, C439)</f>
        <v>0</v>
      </c>
      <c r="C4" s="9" t="s">
        <v>478</v>
      </c>
      <c r="D4" s="18" cm="1" t="str">
        <f t="array" ref="D4">IF(MAX(C6, C23, C28, C33, C38, C43, C48, C53, C58, C63, C68, C73, C80, C85, C95, C105, C112, C119, C126, C131, C138, C143, C148, C153, C158, C163, C170, C177, C184, C191, C198, C203, C210, C215, C220, C225, C230, C235, C240, C245, C250, C255, C262, C269, C276, C283, C288, C293, C298, C303, C308, C313, C318, C323, C328, C333, C338, C343, C348, C367, C373, C381, C391, C397, C408, C420, C428, C439) &lt;= CHK.Tol, "PASS", "FAIL")</f>
        <v/>
      </c>
    </row>
    <row r="5" spans="1:8">
      <c r="A5" s="8" t="s">
        <v>479</v>
      </c>
    </row>
    <row r="6" spans="1:8">
      <c r="A6" s="9" t="s">
        <v>159</v>
      </c>
      <c r="B6" s="1" t="s">
        <v>160</v>
      </c>
      <c r="C6" s="17" cm="1">
        <f t="array" ref="C6">MAX(IF(EXACT((_xlfn.VSTACK(SUBSTITUTE(_xlfn.FORMULATEXT(Primer!B2), " ", ""), SUBSTITUTE(_xlfn.FORMULATEXT(Primer!B3), " ", ""), SUBSTITUTE(_xlfn.FORMULATEXT(Primer!B12), " ", ""), SUBSTITUTE(_xlfn.FORMULATEXT(Primer!B13), " ", ""), SUBSTITUTE(_xlfn.FORMULATEXT(Primer!B14), " ", ""), SUBSTITUTE(_xlfn.FORMULATEXT(Primer!B6), " ", ""), SUBSTITUTE(_xlfn.FORMULATEXT('1 Timeline'!C7), " ", ""), SUBSTITUTE(_xlfn.FORMULATEXT('2 Spill'!C10), " ", ""), SUBSTITUTE(_xlfn.FORMULATEXT('2 Spill'!C18), " ", ""), SUBSTITUTE(_xlfn.FORMULATEXT('2 Spill'!C26), " ", ""), SUBSTITUTE(_xlfn.FORMULATEXT('3 LAMBDA'!C5), " ", ""), SUBSTITUTE(_xlfn.FORMULATEXT('4 Recurrence'!C7), " ", ""), SUBSTITUTE(_xlfn.FORMULATEXT('4 Recurrence'!C16), " ", ""))), Check!$B$8:$B$20), 0, 1E+99))</f>
        <v>0</v>
      </c>
      <c r="D6" s="18" cm="1" t="str">
        <f t="array" ref="D6">IF(MAX(IF(EXACT((_xlfn.VSTACK(SUBSTITUTE(_xlfn.FORMULATEXT(Primer!B2), " ", ""), SUBSTITUTE(_xlfn.FORMULATEXT(Primer!B3), " ", ""), SUBSTITUTE(_xlfn.FORMULATEXT(Primer!B12), " ", ""), SUBSTITUTE(_xlfn.FORMULATEXT(Primer!B13), " ", ""), SUBSTITUTE(_xlfn.FORMULATEXT(Primer!B14), " ", ""), SUBSTITUTE(_xlfn.FORMULATEXT(Primer!B6), " ", ""), SUBSTITUTE(_xlfn.FORMULATEXT('1 Timeline'!C7), " ", ""), SUBSTITUTE(_xlfn.FORMULATEXT('2 Spill'!C10), " ", ""), SUBSTITUTE(_xlfn.FORMULATEXT('2 Spill'!C18), " ", ""), SUBSTITUTE(_xlfn.FORMULATEXT('2 Spill'!C26), " ", ""), SUBSTITUTE(_xlfn.FORMULATEXT('3 LAMBDA'!C5), " ", ""), SUBSTITUTE(_xlfn.FORMULATEXT('4 Recurrence'!C7), " ", ""), SUBSTITUTE(_xlfn.FORMULATEXT('4 Recurrence'!C16), " ", ""))), Check!$B$8:$B$20), 0, 1E+99)) &lt;= CHK.Tol, "PASS", "FAIL")</f>
        <v/>
      </c>
    </row>
    <row r="7" spans="1:8">
      <c r="A7" s="9" t="s">
        <v>161</v>
      </c>
      <c r="B7" s="9" t="s">
        <v>162</v>
      </c>
      <c r="D7" s="9" t="s">
        <v>163</v>
      </c>
      <c r="F7" s="9" t="s">
        <v>164</v>
      </c>
      <c r="H7" s="9" t="s">
        <v>165</v>
      </c>
    </row>
    <row r="8" spans="1:8">
      <c r="A8" s="1" t="s">
        <v>166</v>
      </c>
      <c r="B8" s="1" t="s">
        <v>167</v>
      </c>
      <c r="D8" s="1" cm="1">
        <f t="array" ref="D8:D20">(_xlfn.VSTACK(SUBSTITUTE(_xlfn.FORMULATEXT(Primer!B2), " ", ""), SUBSTITUTE(_xlfn.FORMULATEXT(Primer!B3), " ", ""), SUBSTITUTE(_xlfn.FORMULATEXT(Primer!B12), " ", ""), SUBSTITUTE(_xlfn.FORMULATEXT(Primer!B13), " ", ""), SUBSTITUTE(_xlfn.FORMULATEXT(Primer!B14), " ", ""), SUBSTITUTE(_xlfn.FORMULATEXT(Primer!B6), " ", ""), SUBSTITUTE(_xlfn.FORMULATEXT('1 Timeline'!C7), " ", ""), SUBSTITUTE(_xlfn.FORMULATEXT('2 Spill'!C10), " ", ""), SUBSTITUTE(_xlfn.FORMULATEXT('2 Spill'!C18), " ", ""), SUBSTITUTE(_xlfn.FORMULATEXT('2 Spill'!C26), " ", ""), SUBSTITUTE(_xlfn.FORMULATEXT('3 LAMBDA'!C5), " ", ""), SUBSTITUTE(_xlfn.FORMULATEXT('4 Recurrence'!C7), " ", ""), SUBSTITUTE(_xlfn.FORMULATEXT('4 Recurrence'!C16), " ", "")))</f>
        <v>0</v>
      </c>
      <c r="F8" s="17" cm="1">
        <f t="array" ref="F8:F20">IF(EXACT((_xlfn.VSTACK(SUBSTITUTE(_xlfn.FORMULATEXT(Primer!B2), " ", ""), SUBSTITUTE(_xlfn.FORMULATEXT(Primer!B3), " ", ""), SUBSTITUTE(_xlfn.FORMULATEXT(Primer!B12), " ", ""), SUBSTITUTE(_xlfn.FORMULATEXT(Primer!B13), " ", ""), SUBSTITUTE(_xlfn.FORMULATEXT(Primer!B14), " ", ""), SUBSTITUTE(_xlfn.FORMULATEXT(Primer!B6), " ", ""), SUBSTITUTE(_xlfn.FORMULATEXT('1 Timeline'!C7), " ", ""), SUBSTITUTE(_xlfn.FORMULATEXT('2 Spill'!C10), " ", ""), SUBSTITUTE(_xlfn.FORMULATEXT('2 Spill'!C18), " ", ""), SUBSTITUTE(_xlfn.FORMULATEXT('2 Spill'!C26), " ", ""), SUBSTITUTE(_xlfn.FORMULATEXT('3 LAMBDA'!C5), " ", ""), SUBSTITUTE(_xlfn.FORMULATEXT('4 Recurrence'!C7), " ", ""), SUBSTITUTE(_xlfn.FORMULATEXT('4 Recurrence'!C16), " ", ""))), Check!$B$8:$B$20), 0, 1E+99)</f>
        <v>0</v>
      </c>
      <c r="H8" s="18" cm="1" t="str">
        <f t="array" ref="H8:H20">_xlfn.BYROW(IF(EXACT((_xlfn.VSTACK(SUBSTITUTE(_xlfn.FORMULATEXT(Primer!B2), " ", ""), SUBSTITUTE(_xlfn.FORMULATEXT(Primer!B3), " ", ""), SUBSTITUTE(_xlfn.FORMULATEXT(Primer!B12), " ", ""), SUBSTITUTE(_xlfn.FORMULATEXT(Primer!B13), " ", ""), SUBSTITUTE(_xlfn.FORMULATEXT(Primer!B14), " ", ""), SUBSTITUTE(_xlfn.FORMULATEXT(Primer!B6), " ", ""), SUBSTITUTE(_xlfn.FORMULATEXT('1 Timeline'!C7), " ", ""), SUBSTITUTE(_xlfn.FORMULATEXT('2 Spill'!C10), " ", ""), SUBSTITUTE(_xlfn.FORMULATEXT('2 Spill'!C18), " ", ""), SUBSTITUTE(_xlfn.FORMULATEXT('2 Spill'!C26), " ", ""), SUBSTITUTE(_xlfn.FORMULATEXT('3 LAMBDA'!C5), " ", ""), SUBSTITUTE(_xlfn.FORMULATEXT('4 Recurrence'!C7), " ", ""), SUBSTITUTE(_xlfn.FORMULATEXT('4 Recurrence'!C16), " ", ""))), Check!$B$8:$B$20), 0, 1E+99), _xlfn.LAMBDA(_xlpm.dev_row, IF(MAX(_xlpm.dev_row) &lt;= CHK.Tol, "PASS", "FAIL")))</f>
        <v/>
      </c>
    </row>
    <row r="9" spans="1:8">
      <c r="A9" s="1" t="s">
        <v>168</v>
      </c>
      <c r="B9" s="1" t="s">
        <v>169</v>
      </c>
      <c r="D9" s="1">
        <v>0</v>
      </c>
      <c r="F9" s="17">
        <v>0</v>
      </c>
      <c r="H9" s="18">
        <v>0</v>
      </c>
    </row>
    <row r="10" spans="1:8">
      <c r="A10" s="1" t="s">
        <v>170</v>
      </c>
      <c r="B10" s="1" t="s">
        <v>171</v>
      </c>
      <c r="D10" s="1">
        <v>0</v>
      </c>
      <c r="F10" s="17">
        <v>0</v>
      </c>
      <c r="H10" s="18">
        <v>0</v>
      </c>
    </row>
    <row r="11" spans="1:8">
      <c r="A11" s="1" t="s">
        <v>172</v>
      </c>
      <c r="B11" s="1" t="s">
        <v>173</v>
      </c>
      <c r="D11" s="1">
        <v>0</v>
      </c>
      <c r="F11" s="17">
        <v>0</v>
      </c>
      <c r="H11" s="18">
        <v>0</v>
      </c>
    </row>
    <row r="12" spans="1:8">
      <c r="A12" s="1" t="s">
        <v>174</v>
      </c>
      <c r="B12" s="1" t="s">
        <v>175</v>
      </c>
      <c r="D12" s="1">
        <v>0</v>
      </c>
      <c r="F12" s="17">
        <v>0</v>
      </c>
      <c r="H12" s="18">
        <v>0</v>
      </c>
    </row>
    <row r="13" spans="1:8">
      <c r="A13" s="1" t="s">
        <v>176</v>
      </c>
      <c r="B13" s="1" t="s">
        <v>177</v>
      </c>
      <c r="D13" s="1">
        <v>0</v>
      </c>
      <c r="F13" s="17">
        <v>0</v>
      </c>
      <c r="H13" s="18">
        <v>0</v>
      </c>
    </row>
    <row r="14" spans="1:8">
      <c r="A14" s="1" t="s">
        <v>178</v>
      </c>
      <c r="B14" s="1" t="s">
        <v>179</v>
      </c>
      <c r="D14" s="1">
        <v>0</v>
      </c>
      <c r="F14" s="17">
        <v>0</v>
      </c>
      <c r="H14" s="18">
        <v>0</v>
      </c>
    </row>
    <row r="15" spans="1:8">
      <c r="A15" s="1" t="s">
        <v>180</v>
      </c>
      <c r="B15" s="1" t="s">
        <v>181</v>
      </c>
      <c r="D15" s="1">
        <v>0</v>
      </c>
      <c r="F15" s="17">
        <v>0</v>
      </c>
      <c r="H15" s="18">
        <v>0</v>
      </c>
    </row>
    <row r="16" spans="1:8">
      <c r="A16" s="1" t="s">
        <v>182</v>
      </c>
      <c r="B16" s="1" t="s">
        <v>183</v>
      </c>
      <c r="D16" s="1">
        <v>0</v>
      </c>
      <c r="F16" s="17">
        <v>0</v>
      </c>
      <c r="H16" s="18">
        <v>0</v>
      </c>
    </row>
    <row r="17" spans="1:20">
      <c r="A17" s="1" t="s">
        <v>184</v>
      </c>
      <c r="B17" s="1" t="s">
        <v>185</v>
      </c>
      <c r="D17" s="1">
        <v>0</v>
      </c>
      <c r="F17" s="17">
        <v>0</v>
      </c>
      <c r="H17" s="18">
        <v>0</v>
      </c>
    </row>
    <row r="18" spans="1:20">
      <c r="A18" s="1" t="s">
        <v>186</v>
      </c>
      <c r="B18" s="1" t="s">
        <v>187</v>
      </c>
      <c r="D18" s="1">
        <v>0</v>
      </c>
      <c r="F18" s="17">
        <v>0</v>
      </c>
      <c r="H18" s="18">
        <v>0</v>
      </c>
    </row>
    <row r="19" spans="1:20">
      <c r="A19" s="1" t="s">
        <v>188</v>
      </c>
      <c r="B19" s="1" t="s">
        <v>189</v>
      </c>
      <c r="D19" s="1">
        <v>0</v>
      </c>
      <c r="F19" s="17">
        <v>0</v>
      </c>
      <c r="H19" s="18">
        <v>0</v>
      </c>
    </row>
    <row r="20" spans="1:20">
      <c r="A20" s="1" t="s">
        <v>190</v>
      </c>
      <c r="B20" s="1" t="s">
        <v>191</v>
      </c>
      <c r="D20" s="1">
        <v>0</v>
      </c>
      <c r="F20" s="17">
        <v>0</v>
      </c>
      <c r="H20" s="18">
        <v>0</v>
      </c>
    </row>
    <row r="23" spans="1:20">
      <c r="A23" s="9" t="s">
        <v>192</v>
      </c>
      <c r="B23" s="1" t="s">
        <v>160</v>
      </c>
      <c r="C23" s="17" cm="1">
        <f t="array" ref="C23">MAX(FN.DEV((_xlfn.ANCHORARRAY(Primer!B2)), Check!$B$25:$F$25))</f>
        <v>0</v>
      </c>
      <c r="D23" s="18" cm="1" t="str">
        <f t="array" ref="D23">IF(MAX(FN.DEV((_xlfn.ANCHORARRAY(Primer!B2)), Check!$B$25:$F$25)) &lt;= CHK.Tol, "PASS", "FAIL")</f>
        <v/>
      </c>
    </row>
    <row r="24" spans="1:20">
      <c r="A24" s="9" t="s">
        <v>161</v>
      </c>
      <c r="B24" s="9" t="s">
        <v>162</v>
      </c>
      <c r="C24" s="9" t="s">
        <v>193</v>
      </c>
      <c r="D24" s="9" t="s">
        <v>196</v>
      </c>
      <c r="E24" s="9" t="s">
        <v>199</v>
      </c>
      <c r="F24" s="9" t="s">
        <v>202</v>
      </c>
      <c r="H24" s="9" t="s">
        <v>163</v>
      </c>
      <c r="I24" s="9" t="s">
        <v>194</v>
      </c>
      <c r="J24" s="9" t="s">
        <v>197</v>
      </c>
      <c r="K24" s="9" t="s">
        <v>200</v>
      </c>
      <c r="L24" s="9" t="s">
        <v>203</v>
      </c>
      <c r="N24" s="9" t="s">
        <v>164</v>
      </c>
      <c r="O24" s="9" t="s">
        <v>195</v>
      </c>
      <c r="P24" s="9" t="s">
        <v>198</v>
      </c>
      <c r="Q24" s="9" t="s">
        <v>201</v>
      </c>
      <c r="R24" s="9" t="s">
        <v>204</v>
      </c>
      <c r="T24" s="9" t="s">
        <v>165</v>
      </c>
    </row>
    <row r="25" spans="1:20">
      <c r="A25" s="1" t="s">
        <v>205</v>
      </c>
      <c r="B25" s="7">
        <v>2023</v>
      </c>
      <c r="C25" s="7">
        <v>2024</v>
      </c>
      <c r="D25" s="7">
        <v>2025</v>
      </c>
      <c r="E25" s="7">
        <v>2026</v>
      </c>
      <c r="F25" s="7">
        <v>2027</v>
      </c>
      <c r="H25" s="7" cm="1">
        <f t="array" ref="H25:L25">(_xlfn.ANCHORARRAY(Primer!B2))</f>
        <v>0</v>
      </c>
      <c r="I25" s="7">
        <v>0</v>
      </c>
      <c r="J25" s="7">
        <v>0</v>
      </c>
      <c r="K25" s="7">
        <v>0</v>
      </c>
      <c r="L25" s="7">
        <v>0</v>
      </c>
      <c r="N25" s="17" cm="1">
        <f t="array" ref="N25:R25">FN.DEV((_xlfn.ANCHORARRAY(Primer!B2)), Check!$B$25:$F$25)</f>
        <v>0</v>
      </c>
      <c r="O25" s="17">
        <v>0</v>
      </c>
      <c r="P25" s="17">
        <v>0</v>
      </c>
      <c r="Q25" s="17">
        <v>0</v>
      </c>
      <c r="R25" s="17">
        <v>0</v>
      </c>
      <c r="T25" s="18" cm="1" t="str">
        <f t="array" ref="T25">_xlfn.BYROW(FN.DEV((_xlfn.ANCHORARRAY(Primer!B2)), Check!$B$25:$F$25), _xlfn.LAMBDA(_xlpm.dev_row, IF(MAX(_xlpm.dev_row) &lt;= CHK.Tol, "PASS", "FAIL")))</f>
        <v/>
      </c>
    </row>
    <row r="28" spans="1:20">
      <c r="A28" s="9" t="s">
        <v>206</v>
      </c>
      <c r="B28" s="1" t="s">
        <v>160</v>
      </c>
      <c r="C28" s="17" cm="1">
        <f t="array" ref="C28">MAX(FN.DEV((_xlfn.ANCHORARRAY(Primer!B3)), Check!$B$30:$F$30))</f>
        <v>0</v>
      </c>
      <c r="D28" s="18" cm="1" t="str">
        <f t="array" ref="D28">IF(MAX(FN.DEV((_xlfn.ANCHORARRAY(Primer!B3)), Check!$B$30:$F$30)) &lt;= CHK.Tol, "PASS", "FAIL")</f>
        <v/>
      </c>
    </row>
    <row r="29" spans="1:20">
      <c r="A29" s="9" t="s">
        <v>161</v>
      </c>
      <c r="B29" s="9" t="s">
        <v>162</v>
      </c>
      <c r="C29" s="9" t="s">
        <v>193</v>
      </c>
      <c r="D29" s="9" t="s">
        <v>196</v>
      </c>
      <c r="E29" s="9" t="s">
        <v>199</v>
      </c>
      <c r="F29" s="9" t="s">
        <v>202</v>
      </c>
      <c r="H29" s="9" t="s">
        <v>163</v>
      </c>
      <c r="I29" s="9" t="s">
        <v>194</v>
      </c>
      <c r="J29" s="9" t="s">
        <v>197</v>
      </c>
      <c r="K29" s="9" t="s">
        <v>200</v>
      </c>
      <c r="L29" s="9" t="s">
        <v>203</v>
      </c>
      <c r="N29" s="9" t="s">
        <v>164</v>
      </c>
      <c r="O29" s="9" t="s">
        <v>195</v>
      </c>
      <c r="P29" s="9" t="s">
        <v>198</v>
      </c>
      <c r="Q29" s="9" t="s">
        <v>201</v>
      </c>
      <c r="R29" s="9" t="s">
        <v>204</v>
      </c>
      <c r="T29" s="9" t="s">
        <v>165</v>
      </c>
    </row>
    <row r="30" spans="1:20">
      <c r="A30" s="1" t="s">
        <v>207</v>
      </c>
      <c r="B30" s="7">
        <v>100</v>
      </c>
      <c r="C30" s="7">
        <v>110</v>
      </c>
      <c r="D30" s="7">
        <v>121</v>
      </c>
      <c r="E30" s="7">
        <v>133.1000000000001</v>
      </c>
      <c r="F30" s="7">
        <v>146.4100000000001</v>
      </c>
      <c r="H30" s="7" cm="1">
        <f t="array" ref="H30:L30">(_xlfn.ANCHORARRAY(Primer!B3))</f>
        <v>0</v>
      </c>
      <c r="I30" s="7">
        <v>0</v>
      </c>
      <c r="J30" s="7">
        <v>0</v>
      </c>
      <c r="K30" s="7">
        <v>0</v>
      </c>
      <c r="L30" s="7">
        <v>0</v>
      </c>
      <c r="N30" s="17" cm="1">
        <f t="array" ref="N30:R30">FN.DEV((_xlfn.ANCHORARRAY(Primer!B3)), Check!$B$30:$F$30)</f>
        <v>0</v>
      </c>
      <c r="O30" s="17">
        <v>0</v>
      </c>
      <c r="P30" s="17">
        <v>0</v>
      </c>
      <c r="Q30" s="17">
        <v>0</v>
      </c>
      <c r="R30" s="17">
        <v>0</v>
      </c>
      <c r="T30" s="18" cm="1" t="str">
        <f t="array" ref="T30">_xlfn.BYROW(FN.DEV((_xlfn.ANCHORARRAY(Primer!B3)), Check!$B$30:$F$30), _xlfn.LAMBDA(_xlpm.dev_row, IF(MAX(_xlpm.dev_row) &lt;= CHK.Tol, "PASS", "FAIL")))</f>
        <v/>
      </c>
    </row>
    <row r="33" spans="1:20">
      <c r="A33" s="9" t="s">
        <v>208</v>
      </c>
      <c r="B33" s="1" t="s">
        <v>160</v>
      </c>
      <c r="C33" s="17" cm="1">
        <f t="array" ref="C33">MAX(FN.DEV((_xlfn.ANCHORARRAY(Primer!B12)), Check!$B$35:$F$35))</f>
        <v>0</v>
      </c>
      <c r="D33" s="18" cm="1" t="str">
        <f t="array" ref="D33">IF(MAX(FN.DEV((_xlfn.ANCHORARRAY(Primer!B12)), Check!$B$35:$F$35)) &lt;= CHK.Tol, "PASS", "FAIL")</f>
        <v/>
      </c>
    </row>
    <row r="34" spans="1:20">
      <c r="A34" s="9" t="s">
        <v>161</v>
      </c>
      <c r="B34" s="9" t="s">
        <v>162</v>
      </c>
      <c r="C34" s="9" t="s">
        <v>193</v>
      </c>
      <c r="D34" s="9" t="s">
        <v>196</v>
      </c>
      <c r="E34" s="9" t="s">
        <v>199</v>
      </c>
      <c r="F34" s="9" t="s">
        <v>202</v>
      </c>
      <c r="H34" s="9" t="s">
        <v>163</v>
      </c>
      <c r="I34" s="9" t="s">
        <v>194</v>
      </c>
      <c r="J34" s="9" t="s">
        <v>197</v>
      </c>
      <c r="K34" s="9" t="s">
        <v>200</v>
      </c>
      <c r="L34" s="9" t="s">
        <v>203</v>
      </c>
      <c r="N34" s="9" t="s">
        <v>164</v>
      </c>
      <c r="O34" s="9" t="s">
        <v>195</v>
      </c>
      <c r="P34" s="9" t="s">
        <v>198</v>
      </c>
      <c r="Q34" s="9" t="s">
        <v>201</v>
      </c>
      <c r="R34" s="9" t="s">
        <v>204</v>
      </c>
      <c r="T34" s="9" t="s">
        <v>165</v>
      </c>
    </row>
    <row r="35" spans="1:20">
      <c r="A35" s="1" t="s">
        <v>209</v>
      </c>
      <c r="B35" s="7">
        <v>100</v>
      </c>
      <c r="C35" s="7">
        <v>110</v>
      </c>
      <c r="D35" s="7">
        <v>121</v>
      </c>
      <c r="E35" s="7">
        <v>133.1000000000001</v>
      </c>
      <c r="F35" s="7">
        <v>146.4100000000001</v>
      </c>
      <c r="H35" s="7" cm="1">
        <f t="array" ref="H35:L35">(_xlfn.ANCHORARRAY(Primer!B12))</f>
        <v>0</v>
      </c>
      <c r="I35" s="7">
        <v>0</v>
      </c>
      <c r="J35" s="7">
        <v>0</v>
      </c>
      <c r="K35" s="7">
        <v>0</v>
      </c>
      <c r="L35" s="7">
        <v>0</v>
      </c>
      <c r="N35" s="17" cm="1">
        <f t="array" ref="N35:R35">FN.DEV((_xlfn.ANCHORARRAY(Primer!B12)), Check!$B$35:$F$35)</f>
        <v>0</v>
      </c>
      <c r="O35" s="17">
        <v>0</v>
      </c>
      <c r="P35" s="17">
        <v>0</v>
      </c>
      <c r="Q35" s="17">
        <v>0</v>
      </c>
      <c r="R35" s="17">
        <v>0</v>
      </c>
      <c r="T35" s="18" cm="1" t="str">
        <f t="array" ref="T35">_xlfn.BYROW(FN.DEV((_xlfn.ANCHORARRAY(Primer!B12)), Check!$B$35:$F$35), _xlfn.LAMBDA(_xlpm.dev_row, IF(MAX(_xlpm.dev_row) &lt;= CHK.Tol, "PASS", "FAIL")))</f>
        <v/>
      </c>
    </row>
    <row r="38" spans="1:20">
      <c r="A38" s="9" t="s">
        <v>210</v>
      </c>
      <c r="B38" s="1" t="s">
        <v>160</v>
      </c>
      <c r="C38" s="17" cm="1">
        <f t="array" ref="C38">MAX(FN.DEV((_xlfn.ANCHORARRAY(Primer!B13)), Check!$B$40:$F$40))</f>
        <v>0</v>
      </c>
      <c r="D38" s="18" cm="1" t="str">
        <f t="array" ref="D38">IF(MAX(FN.DEV((_xlfn.ANCHORARRAY(Primer!B13)), Check!$B$40:$F$40)) &lt;= CHK.Tol, "PASS", "FAIL")</f>
        <v/>
      </c>
    </row>
    <row r="39" spans="1:20">
      <c r="A39" s="9" t="s">
        <v>161</v>
      </c>
      <c r="B39" s="9" t="s">
        <v>162</v>
      </c>
      <c r="C39" s="9" t="s">
        <v>193</v>
      </c>
      <c r="D39" s="9" t="s">
        <v>196</v>
      </c>
      <c r="E39" s="9" t="s">
        <v>199</v>
      </c>
      <c r="F39" s="9" t="s">
        <v>202</v>
      </c>
      <c r="H39" s="9" t="s">
        <v>163</v>
      </c>
      <c r="I39" s="9" t="s">
        <v>194</v>
      </c>
      <c r="J39" s="9" t="s">
        <v>197</v>
      </c>
      <c r="K39" s="9" t="s">
        <v>200</v>
      </c>
      <c r="L39" s="9" t="s">
        <v>203</v>
      </c>
      <c r="N39" s="9" t="s">
        <v>164</v>
      </c>
      <c r="O39" s="9" t="s">
        <v>195</v>
      </c>
      <c r="P39" s="9" t="s">
        <v>198</v>
      </c>
      <c r="Q39" s="9" t="s">
        <v>201</v>
      </c>
      <c r="R39" s="9" t="s">
        <v>204</v>
      </c>
      <c r="T39" s="9" t="s">
        <v>165</v>
      </c>
    </row>
    <row r="40" spans="1:20">
      <c r="A40" s="1" t="s">
        <v>211</v>
      </c>
      <c r="B40" s="7">
        <v>100</v>
      </c>
      <c r="C40" s="7">
        <v>110</v>
      </c>
      <c r="D40" s="7">
        <v>121</v>
      </c>
      <c r="E40" s="7">
        <v>133.1000000000001</v>
      </c>
      <c r="F40" s="7">
        <v>146.4100000000001</v>
      </c>
      <c r="H40" s="7" cm="1">
        <f t="array" ref="H40:L40">(_xlfn.ANCHORARRAY(Primer!B13))</f>
        <v>0</v>
      </c>
      <c r="I40" s="7">
        <v>0</v>
      </c>
      <c r="J40" s="7">
        <v>0</v>
      </c>
      <c r="K40" s="7">
        <v>0</v>
      </c>
      <c r="L40" s="7">
        <v>0</v>
      </c>
      <c r="N40" s="17" cm="1">
        <f t="array" ref="N40:R40">FN.DEV((_xlfn.ANCHORARRAY(Primer!B13)), Check!$B$40:$F$40)</f>
        <v>0</v>
      </c>
      <c r="O40" s="17">
        <v>0</v>
      </c>
      <c r="P40" s="17">
        <v>0</v>
      </c>
      <c r="Q40" s="17">
        <v>0</v>
      </c>
      <c r="R40" s="17">
        <v>0</v>
      </c>
      <c r="T40" s="18" cm="1" t="str">
        <f t="array" ref="T40">_xlfn.BYROW(FN.DEV((_xlfn.ANCHORARRAY(Primer!B13)), Check!$B$40:$F$40), _xlfn.LAMBDA(_xlpm.dev_row, IF(MAX(_xlpm.dev_row) &lt;= CHK.Tol, "PASS", "FAIL")))</f>
        <v/>
      </c>
    </row>
    <row r="43" spans="1:20">
      <c r="A43" s="9" t="s">
        <v>212</v>
      </c>
      <c r="B43" s="1" t="s">
        <v>160</v>
      </c>
      <c r="C43" s="17" cm="1">
        <f t="array" ref="C43">MAX(FN.DEV((_xlfn.ANCHORARRAY(Primer!B14)), Check!$B$45:$F$45))</f>
        <v>0</v>
      </c>
      <c r="D43" s="18" cm="1" t="str">
        <f t="array" ref="D43">IF(MAX(FN.DEV((_xlfn.ANCHORARRAY(Primer!B14)), Check!$B$45:$F$45)) &lt;= CHK.Tol, "PASS", "FAIL")</f>
        <v/>
      </c>
    </row>
    <row r="44" spans="1:20">
      <c r="A44" s="9" t="s">
        <v>161</v>
      </c>
      <c r="B44" s="9" t="s">
        <v>162</v>
      </c>
      <c r="C44" s="9" t="s">
        <v>193</v>
      </c>
      <c r="D44" s="9" t="s">
        <v>196</v>
      </c>
      <c r="E44" s="9" t="s">
        <v>199</v>
      </c>
      <c r="F44" s="9" t="s">
        <v>202</v>
      </c>
      <c r="H44" s="9" t="s">
        <v>163</v>
      </c>
      <c r="I44" s="9" t="s">
        <v>194</v>
      </c>
      <c r="J44" s="9" t="s">
        <v>197</v>
      </c>
      <c r="K44" s="9" t="s">
        <v>200</v>
      </c>
      <c r="L44" s="9" t="s">
        <v>203</v>
      </c>
      <c r="N44" s="9" t="s">
        <v>164</v>
      </c>
      <c r="O44" s="9" t="s">
        <v>195</v>
      </c>
      <c r="P44" s="9" t="s">
        <v>198</v>
      </c>
      <c r="Q44" s="9" t="s">
        <v>201</v>
      </c>
      <c r="R44" s="9" t="s">
        <v>204</v>
      </c>
      <c r="T44" s="9" t="s">
        <v>165</v>
      </c>
    </row>
    <row r="45" spans="1:20">
      <c r="A45" s="1" t="s">
        <v>213</v>
      </c>
      <c r="B45" s="7">
        <v>100</v>
      </c>
      <c r="C45" s="7">
        <v>110</v>
      </c>
      <c r="D45" s="7">
        <v>121</v>
      </c>
      <c r="E45" s="7">
        <v>133.1000000000001</v>
      </c>
      <c r="F45" s="7">
        <v>146.4100000000001</v>
      </c>
      <c r="H45" s="7" cm="1">
        <f t="array" ref="H45:L45">(_xlfn.ANCHORARRAY(Primer!B14))</f>
        <v>0</v>
      </c>
      <c r="I45" s="7">
        <v>0</v>
      </c>
      <c r="J45" s="7">
        <v>0</v>
      </c>
      <c r="K45" s="7">
        <v>0</v>
      </c>
      <c r="L45" s="7">
        <v>0</v>
      </c>
      <c r="N45" s="17" cm="1">
        <f t="array" ref="N45:R45">FN.DEV((_xlfn.ANCHORARRAY(Primer!B14)), Check!$B$45:$F$45)</f>
        <v>0</v>
      </c>
      <c r="O45" s="17">
        <v>0</v>
      </c>
      <c r="P45" s="17">
        <v>0</v>
      </c>
      <c r="Q45" s="17">
        <v>0</v>
      </c>
      <c r="R45" s="17">
        <v>0</v>
      </c>
      <c r="T45" s="18" cm="1" t="str">
        <f t="array" ref="T45">_xlfn.BYROW(FN.DEV((_xlfn.ANCHORARRAY(Primer!B14)), Check!$B$45:$F$45), _xlfn.LAMBDA(_xlpm.dev_row, IF(MAX(_xlpm.dev_row) &lt;= CHK.Tol, "PASS", "FAIL")))</f>
        <v/>
      </c>
    </row>
    <row r="48" spans="1:20">
      <c r="A48" s="9" t="s">
        <v>214</v>
      </c>
      <c r="B48" s="1" t="s">
        <v>160</v>
      </c>
      <c r="C48" s="17" cm="1">
        <f t="array" ref="C48">MAX(FN.DEV((_xlfn.ANCHORARRAY(Primer!B6)), Check!$B$50:$F$50))</f>
        <v>0</v>
      </c>
      <c r="D48" s="18" cm="1" t="str">
        <f t="array" ref="D48">IF(MAX(FN.DEV((_xlfn.ANCHORARRAY(Primer!B6)), Check!$B$50:$F$50)) &lt;= CHK.Tol, "PASS", "FAIL")</f>
        <v/>
      </c>
    </row>
    <row r="49" spans="1:20">
      <c r="A49" s="9" t="s">
        <v>161</v>
      </c>
      <c r="B49" s="9" t="s">
        <v>162</v>
      </c>
      <c r="C49" s="9" t="s">
        <v>193</v>
      </c>
      <c r="D49" s="9" t="s">
        <v>196</v>
      </c>
      <c r="E49" s="9" t="s">
        <v>199</v>
      </c>
      <c r="F49" s="9" t="s">
        <v>202</v>
      </c>
      <c r="H49" s="9" t="s">
        <v>163</v>
      </c>
      <c r="I49" s="9" t="s">
        <v>194</v>
      </c>
      <c r="J49" s="9" t="s">
        <v>197</v>
      </c>
      <c r="K49" s="9" t="s">
        <v>200</v>
      </c>
      <c r="L49" s="9" t="s">
        <v>203</v>
      </c>
      <c r="N49" s="9" t="s">
        <v>164</v>
      </c>
      <c r="O49" s="9" t="s">
        <v>195</v>
      </c>
      <c r="P49" s="9" t="s">
        <v>198</v>
      </c>
      <c r="Q49" s="9" t="s">
        <v>201</v>
      </c>
      <c r="R49" s="9" t="s">
        <v>204</v>
      </c>
      <c r="T49" s="9" t="s">
        <v>165</v>
      </c>
    </row>
    <row r="50" spans="1:20">
      <c r="A50" s="1" t="s">
        <v>215</v>
      </c>
      <c r="B50" s="7">
        <v>900</v>
      </c>
      <c r="C50" s="7">
        <v>750</v>
      </c>
      <c r="D50" s="7">
        <v>550</v>
      </c>
      <c r="E50" s="7">
        <v>300</v>
      </c>
      <c r="F50" s="7">
        <v>0</v>
      </c>
      <c r="H50" s="7" cm="1">
        <f t="array" ref="H50:L50">(_xlfn.ANCHORARRAY(Primer!B6))</f>
        <v>0</v>
      </c>
      <c r="I50" s="7">
        <v>0</v>
      </c>
      <c r="J50" s="7">
        <v>0</v>
      </c>
      <c r="K50" s="7">
        <v>0</v>
      </c>
      <c r="L50" s="7">
        <v>0</v>
      </c>
      <c r="N50" s="17" cm="1">
        <f t="array" ref="N50:R50">FN.DEV((_xlfn.ANCHORARRAY(Primer!B6)), Check!$B$50:$F$50)</f>
        <v>0</v>
      </c>
      <c r="O50" s="17">
        <v>0</v>
      </c>
      <c r="P50" s="17">
        <v>0</v>
      </c>
      <c r="Q50" s="17">
        <v>0</v>
      </c>
      <c r="R50" s="17">
        <v>0</v>
      </c>
      <c r="T50" s="18" cm="1" t="str">
        <f t="array" ref="T50">_xlfn.BYROW(FN.DEV((_xlfn.ANCHORARRAY(Primer!B6)), Check!$B$50:$F$50), _xlfn.LAMBDA(_xlpm.dev_row, IF(MAX(_xlpm.dev_row) &lt;= CHK.Tol, "PASS", "FAIL")))</f>
        <v/>
      </c>
    </row>
    <row r="53" spans="1:20">
      <c r="A53" s="9" t="s">
        <v>216</v>
      </c>
      <c r="B53" s="1" t="s">
        <v>160</v>
      </c>
      <c r="C53" s="17" cm="1">
        <f t="array" ref="C53">MAX(FN.DEV((_xlfn.ANCHORARRAY(Primer!B18)), Check!$B$55:$F$55))</f>
        <v>0</v>
      </c>
      <c r="D53" s="18" cm="1" t="str">
        <f t="array" ref="D53">IF(MAX(FN.DEV((_xlfn.ANCHORARRAY(Primer!B18)), Check!$B$55:$F$55)) &lt;= CHK.Tol, "PASS", "FAIL")</f>
        <v/>
      </c>
    </row>
    <row r="54" spans="1:20">
      <c r="A54" s="9" t="s">
        <v>161</v>
      </c>
      <c r="B54" s="9" t="s">
        <v>162</v>
      </c>
      <c r="C54" s="9" t="s">
        <v>193</v>
      </c>
      <c r="D54" s="9" t="s">
        <v>196</v>
      </c>
      <c r="E54" s="9" t="s">
        <v>199</v>
      </c>
      <c r="F54" s="9" t="s">
        <v>202</v>
      </c>
      <c r="H54" s="9" t="s">
        <v>163</v>
      </c>
      <c r="I54" s="9" t="s">
        <v>194</v>
      </c>
      <c r="J54" s="9" t="s">
        <v>197</v>
      </c>
      <c r="K54" s="9" t="s">
        <v>200</v>
      </c>
      <c r="L54" s="9" t="s">
        <v>203</v>
      </c>
      <c r="N54" s="9" t="s">
        <v>164</v>
      </c>
      <c r="O54" s="9" t="s">
        <v>195</v>
      </c>
      <c r="P54" s="9" t="s">
        <v>198</v>
      </c>
      <c r="Q54" s="9" t="s">
        <v>201</v>
      </c>
      <c r="R54" s="9" t="s">
        <v>204</v>
      </c>
      <c r="T54" s="9" t="s">
        <v>165</v>
      </c>
    </row>
    <row r="55" spans="1:20">
      <c r="A55" s="1" t="s">
        <v>217</v>
      </c>
      <c r="B55" s="7">
        <v>100</v>
      </c>
      <c r="C55" s="7">
        <v>110</v>
      </c>
      <c r="D55" s="7">
        <v>121</v>
      </c>
      <c r="E55" s="7">
        <v>133.1</v>
      </c>
      <c r="F55" s="7">
        <v>146.4</v>
      </c>
      <c r="H55" s="7" cm="1">
        <f t="array" ref="H55:L55">(_xlfn.ANCHORARRAY(Primer!B18))</f>
        <v>0</v>
      </c>
      <c r="I55" s="7">
        <v>0</v>
      </c>
      <c r="J55" s="7">
        <v>0</v>
      </c>
      <c r="K55" s="7">
        <v>0</v>
      </c>
      <c r="L55" s="7">
        <v>0</v>
      </c>
      <c r="N55" s="17" cm="1">
        <f t="array" ref="N55:R55">FN.DEV((_xlfn.ANCHORARRAY(Primer!B18)), Check!$B$55:$F$55)</f>
        <v>0</v>
      </c>
      <c r="O55" s="17">
        <v>0</v>
      </c>
      <c r="P55" s="17">
        <v>0</v>
      </c>
      <c r="Q55" s="17">
        <v>0</v>
      </c>
      <c r="R55" s="17">
        <v>0</v>
      </c>
      <c r="T55" s="18" cm="1" t="str">
        <f t="array" ref="T55">_xlfn.BYROW(FN.DEV((_xlfn.ANCHORARRAY(Primer!B18)), Check!$B$55:$F$55), _xlfn.LAMBDA(_xlpm.dev_row, IF(MAX(_xlpm.dev_row) &lt;= CHK.Tol, "PASS", "FAIL")))</f>
        <v/>
      </c>
    </row>
    <row r="58" spans="1:20">
      <c r="A58" s="9" t="s">
        <v>218</v>
      </c>
      <c r="B58" s="1" t="s">
        <v>160</v>
      </c>
      <c r="C58" s="17" cm="1">
        <f t="array" ref="C58">MAX(FN.DEV((_xlfn.ANCHORARRAY(Primer!B19)), Check!$B$60:$F$60))</f>
        <v>0</v>
      </c>
      <c r="D58" s="18" cm="1" t="str">
        <f t="array" ref="D58">IF(MAX(FN.DEV((_xlfn.ANCHORARRAY(Primer!B19)), Check!$B$60:$F$60)) &lt;= CHK.Tol, "PASS", "FAIL")</f>
        <v/>
      </c>
    </row>
    <row r="59" spans="1:20">
      <c r="A59" s="9" t="s">
        <v>161</v>
      </c>
      <c r="B59" s="9" t="s">
        <v>162</v>
      </c>
      <c r="C59" s="9" t="s">
        <v>193</v>
      </c>
      <c r="D59" s="9" t="s">
        <v>196</v>
      </c>
      <c r="E59" s="9" t="s">
        <v>199</v>
      </c>
      <c r="F59" s="9" t="s">
        <v>202</v>
      </c>
      <c r="H59" s="9" t="s">
        <v>163</v>
      </c>
      <c r="I59" s="9" t="s">
        <v>194</v>
      </c>
      <c r="J59" s="9" t="s">
        <v>197</v>
      </c>
      <c r="K59" s="9" t="s">
        <v>200</v>
      </c>
      <c r="L59" s="9" t="s">
        <v>203</v>
      </c>
      <c r="N59" s="9" t="s">
        <v>164</v>
      </c>
      <c r="O59" s="9" t="s">
        <v>195</v>
      </c>
      <c r="P59" s="9" t="s">
        <v>198</v>
      </c>
      <c r="Q59" s="9" t="s">
        <v>201</v>
      </c>
      <c r="R59" s="9" t="s">
        <v>204</v>
      </c>
      <c r="T59" s="9" t="s">
        <v>165</v>
      </c>
    </row>
    <row r="60" spans="1:20">
      <c r="A60" s="1" t="s">
        <v>219</v>
      </c>
      <c r="B60" s="7">
        <v>1000</v>
      </c>
      <c r="C60" s="7">
        <v>900</v>
      </c>
      <c r="D60" s="7">
        <v>750</v>
      </c>
      <c r="E60" s="7">
        <v>550</v>
      </c>
      <c r="F60" s="7">
        <v>300</v>
      </c>
      <c r="H60" s="7" cm="1">
        <f t="array" ref="H60:L60">(_xlfn.ANCHORARRAY(Primer!B19))</f>
        <v>0</v>
      </c>
      <c r="I60" s="7">
        <v>0</v>
      </c>
      <c r="J60" s="7">
        <v>0</v>
      </c>
      <c r="K60" s="7">
        <v>0</v>
      </c>
      <c r="L60" s="7">
        <v>0</v>
      </c>
      <c r="N60" s="17" cm="1">
        <f t="array" ref="N60:R60">FN.DEV((_xlfn.ANCHORARRAY(Primer!B19)), Check!$B$60:$F$60)</f>
        <v>0</v>
      </c>
      <c r="O60" s="17">
        <v>0</v>
      </c>
      <c r="P60" s="17">
        <v>0</v>
      </c>
      <c r="Q60" s="17">
        <v>0</v>
      </c>
      <c r="R60" s="17">
        <v>0</v>
      </c>
      <c r="T60" s="18" cm="1" t="str">
        <f t="array" ref="T60">_xlfn.BYROW(FN.DEV((_xlfn.ANCHORARRAY(Primer!B19)), Check!$B$60:$F$60), _xlfn.LAMBDA(_xlpm.dev_row, IF(MAX(_xlpm.dev_row) &lt;= CHK.Tol, "PASS", "FAIL")))</f>
        <v/>
      </c>
    </row>
    <row r="63" spans="1:20">
      <c r="A63" s="9" t="s">
        <v>220</v>
      </c>
      <c r="B63" s="1" t="s">
        <v>160</v>
      </c>
      <c r="C63" s="17" cm="1">
        <f t="array" ref="C63">MAX(FN.DEV((_xlfn.ANCHORARRAY(Primer!B19)), Check!$B$65:$F$65))</f>
        <v>0</v>
      </c>
      <c r="D63" s="18" cm="1" t="str">
        <f t="array" ref="D63">IF(MAX(FN.DEV((_xlfn.ANCHORARRAY(Primer!B19)), Check!$B$65:$F$65)) &lt;= CHK.Tol, "PASS", "FAIL")</f>
        <v/>
      </c>
    </row>
    <row r="64" spans="1:20">
      <c r="A64" s="9" t="s">
        <v>161</v>
      </c>
      <c r="B64" s="9" t="s">
        <v>162</v>
      </c>
      <c r="C64" s="9" t="s">
        <v>193</v>
      </c>
      <c r="D64" s="9" t="s">
        <v>196</v>
      </c>
      <c r="E64" s="9" t="s">
        <v>199</v>
      </c>
      <c r="F64" s="9" t="s">
        <v>202</v>
      </c>
      <c r="H64" s="9" t="s">
        <v>163</v>
      </c>
      <c r="I64" s="9" t="s">
        <v>194</v>
      </c>
      <c r="J64" s="9" t="s">
        <v>197</v>
      </c>
      <c r="K64" s="9" t="s">
        <v>200</v>
      </c>
      <c r="L64" s="9" t="s">
        <v>203</v>
      </c>
      <c r="N64" s="9" t="s">
        <v>164</v>
      </c>
      <c r="O64" s="9" t="s">
        <v>195</v>
      </c>
      <c r="P64" s="9" t="s">
        <v>198</v>
      </c>
      <c r="Q64" s="9" t="s">
        <v>201</v>
      </c>
      <c r="R64" s="9" t="s">
        <v>204</v>
      </c>
      <c r="T64" s="9" t="s">
        <v>165</v>
      </c>
    </row>
    <row r="65" spans="1:20">
      <c r="A65" s="1" t="s">
        <v>221</v>
      </c>
      <c r="B65" s="7">
        <v>1000</v>
      </c>
      <c r="C65" s="7">
        <v>900</v>
      </c>
      <c r="D65" s="7">
        <v>750</v>
      </c>
      <c r="E65" s="7">
        <v>550</v>
      </c>
      <c r="F65" s="7">
        <v>300</v>
      </c>
      <c r="H65" s="7" cm="1">
        <f t="array" ref="H65:L65">(_xlfn.ANCHORARRAY(Primer!B19))</f>
        <v>0</v>
      </c>
      <c r="I65" s="7">
        <v>0</v>
      </c>
      <c r="J65" s="7">
        <v>0</v>
      </c>
      <c r="K65" s="7">
        <v>0</v>
      </c>
      <c r="L65" s="7">
        <v>0</v>
      </c>
      <c r="N65" s="17" cm="1">
        <f t="array" ref="N65:R65">FN.DEV((_xlfn.ANCHORARRAY(Primer!B19)), Check!$B$65:$F$65)</f>
        <v>0</v>
      </c>
      <c r="O65" s="17">
        <v>0</v>
      </c>
      <c r="P65" s="17">
        <v>0</v>
      </c>
      <c r="Q65" s="17">
        <v>0</v>
      </c>
      <c r="R65" s="17">
        <v>0</v>
      </c>
      <c r="T65" s="18" cm="1" t="str">
        <f t="array" ref="T65">_xlfn.BYROW(FN.DEV((_xlfn.ANCHORARRAY(Primer!B19)), Check!$B$65:$F$65), _xlfn.LAMBDA(_xlpm.dev_row, IF(MAX(_xlpm.dev_row) &lt;= CHK.Tol, "PASS", "FAIL")))</f>
        <v/>
      </c>
    </row>
    <row r="68" spans="1:20">
      <c r="A68" s="9" t="s">
        <v>222</v>
      </c>
      <c r="B68" s="1" t="s">
        <v>160</v>
      </c>
      <c r="C68" s="17" cm="1">
        <f t="array" ref="C68">MAX(FN.DEV((Primer!B20), Check!$B$70:$B$70))</f>
        <v>0</v>
      </c>
      <c r="D68" s="18" cm="1" t="str">
        <f t="array" ref="D68">IF(MAX(FN.DEV((Primer!B20), Check!$B$70:$B$70)) &lt;= CHK.Tol, "PASS", "FAIL")</f>
        <v/>
      </c>
    </row>
    <row r="69" spans="1:20">
      <c r="A69" s="9" t="s">
        <v>161</v>
      </c>
      <c r="B69" s="9" t="s">
        <v>162</v>
      </c>
      <c r="D69" s="9" t="s">
        <v>163</v>
      </c>
      <c r="F69" s="9" t="s">
        <v>164</v>
      </c>
      <c r="H69" s="9" t="s">
        <v>165</v>
      </c>
    </row>
    <row r="70" spans="1:20">
      <c r="A70" s="1" t="s">
        <v>223</v>
      </c>
      <c r="B70" s="7">
        <v>0</v>
      </c>
      <c r="D70" s="7" cm="1">
        <f t="array" ref="D70">(Primer!B20)</f>
        <v>0</v>
      </c>
      <c r="F70" s="17" cm="1">
        <f t="array" ref="F70">FN.DEV((Primer!B20), Check!$B$70:$B$70)</f>
        <v>0</v>
      </c>
      <c r="H70" s="18" cm="1" t="str">
        <f t="array" ref="H70">_xlfn.BYROW(FN.DEV((Primer!B20), Check!$B$70:$B$70), _xlfn.LAMBDA(_xlpm.dev_row, IF(MAX(_xlpm.dev_row) &lt;= CHK.Tol, "PASS", "FAIL")))</f>
        <v/>
      </c>
    </row>
    <row r="73" spans="1:20">
      <c r="A73" s="9" t="s">
        <v>224</v>
      </c>
      <c r="B73" s="1" t="s">
        <v>160</v>
      </c>
      <c r="C73" s="17" cm="1">
        <f t="array" ref="C73">MAX(FN.DEV((_xlfn.ANCHORARRAY(Primer!B21)), Check!$B$75:$F$77))</f>
        <v>0</v>
      </c>
      <c r="D73" s="18" cm="1" t="str">
        <f t="array" ref="D73">IF(MAX(FN.DEV((_xlfn.ANCHORARRAY(Primer!B21)), Check!$B$75:$F$77)) &lt;= CHK.Tol, "PASS", "FAIL")</f>
        <v/>
      </c>
    </row>
    <row r="74" spans="1:20">
      <c r="A74" s="9" t="s">
        <v>161</v>
      </c>
      <c r="B74" s="9" t="s">
        <v>162</v>
      </c>
      <c r="C74" s="9" t="s">
        <v>193</v>
      </c>
      <c r="D74" s="9" t="s">
        <v>196</v>
      </c>
      <c r="E74" s="9" t="s">
        <v>199</v>
      </c>
      <c r="F74" s="9" t="s">
        <v>202</v>
      </c>
      <c r="H74" s="9" t="s">
        <v>163</v>
      </c>
      <c r="I74" s="9" t="s">
        <v>194</v>
      </c>
      <c r="J74" s="9" t="s">
        <v>197</v>
      </c>
      <c r="K74" s="9" t="s">
        <v>200</v>
      </c>
      <c r="L74" s="9" t="s">
        <v>203</v>
      </c>
      <c r="N74" s="9" t="s">
        <v>164</v>
      </c>
      <c r="O74" s="9" t="s">
        <v>195</v>
      </c>
      <c r="P74" s="9" t="s">
        <v>198</v>
      </c>
      <c r="Q74" s="9" t="s">
        <v>201</v>
      </c>
      <c r="R74" s="9" t="s">
        <v>204</v>
      </c>
      <c r="T74" s="9" t="s">
        <v>165</v>
      </c>
    </row>
    <row r="75" spans="1:20">
      <c r="A75" s="1" t="s">
        <v>225</v>
      </c>
      <c r="B75" s="7">
        <v>1</v>
      </c>
      <c r="C75" s="7">
        <v>2</v>
      </c>
      <c r="D75" s="7">
        <v>3</v>
      </c>
      <c r="E75" s="7">
        <v>4</v>
      </c>
      <c r="F75" s="7">
        <v>5</v>
      </c>
      <c r="H75" s="7" cm="1">
        <f t="array" ref="H75:L77">(_xlfn.ANCHORARRAY(Primer!B21))</f>
        <v>0</v>
      </c>
      <c r="I75" s="7">
        <v>0</v>
      </c>
      <c r="J75" s="7">
        <v>0</v>
      </c>
      <c r="K75" s="7">
        <v>0</v>
      </c>
      <c r="L75" s="7">
        <v>0</v>
      </c>
      <c r="N75" s="17" cm="1">
        <f t="array" ref="N75:R77">FN.DEV((_xlfn.ANCHORARRAY(Primer!B21)), Check!$B$75:$F$77)</f>
        <v>0</v>
      </c>
      <c r="O75" s="17">
        <v>0</v>
      </c>
      <c r="P75" s="17">
        <v>0</v>
      </c>
      <c r="Q75" s="17">
        <v>0</v>
      </c>
      <c r="R75" s="17">
        <v>0</v>
      </c>
      <c r="T75" s="18" cm="1" t="str">
        <f t="array" ref="T75:T77">_xlfn.BYROW(FN.DEV((_xlfn.ANCHORARRAY(Primer!B21)), Check!$B$75:$F$77), _xlfn.LAMBDA(_xlpm.dev_row, IF(MAX(_xlpm.dev_row) &lt;= CHK.Tol, "PASS", "FAIL")))</f>
        <v/>
      </c>
    </row>
    <row r="76" spans="1:20">
      <c r="A76" s="1" t="s">
        <v>226</v>
      </c>
      <c r="B76" s="7">
        <v>2</v>
      </c>
      <c r="C76" s="7">
        <v>4</v>
      </c>
      <c r="D76" s="7">
        <v>6</v>
      </c>
      <c r="E76" s="7">
        <v>8</v>
      </c>
      <c r="F76" s="7">
        <v>10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T76" s="18">
        <v>0</v>
      </c>
    </row>
    <row r="77" spans="1:20">
      <c r="A77" s="1" t="s">
        <v>227</v>
      </c>
      <c r="B77" s="7">
        <v>3</v>
      </c>
      <c r="C77" s="7">
        <v>6</v>
      </c>
      <c r="D77" s="7">
        <v>9</v>
      </c>
      <c r="E77" s="7">
        <v>12</v>
      </c>
      <c r="F77" s="7">
        <v>15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T77" s="18">
        <v>0</v>
      </c>
    </row>
    <row r="80" spans="1:20">
      <c r="A80" s="9" t="s">
        <v>228</v>
      </c>
      <c r="B80" s="1" t="s">
        <v>160</v>
      </c>
      <c r="C80" s="17" cm="1">
        <f t="array" ref="C80">MAX(FN.DEV((Primer!B25), Check!$B$82:$B$82))</f>
        <v>0</v>
      </c>
      <c r="D80" s="18" cm="1" t="str">
        <f t="array" ref="D80">IF(MAX(FN.DEV((Primer!B25), Check!$B$82:$B$82)) &lt;= CHK.Tol, "PASS", "FAIL")</f>
        <v/>
      </c>
    </row>
    <row r="81" spans="1:11">
      <c r="A81" s="9" t="s">
        <v>161</v>
      </c>
      <c r="B81" s="9" t="s">
        <v>162</v>
      </c>
      <c r="D81" s="9" t="s">
        <v>163</v>
      </c>
      <c r="F81" s="9" t="s">
        <v>164</v>
      </c>
      <c r="H81" s="9" t="s">
        <v>165</v>
      </c>
    </row>
    <row r="82" spans="1:11">
      <c r="A82" s="1" t="s">
        <v>229</v>
      </c>
      <c r="B82" s="7">
        <v>120</v>
      </c>
      <c r="D82" s="7" cm="1">
        <f t="array" ref="D82">(Primer!B25)</f>
        <v>0</v>
      </c>
      <c r="F82" s="17" cm="1">
        <f t="array" ref="F82">FN.DEV((Primer!B25), Check!$B$82:$B$82)</f>
        <v>0</v>
      </c>
      <c r="H82" s="18" cm="1" t="str">
        <f t="array" ref="H82">_xlfn.BYROW(FN.DEV((Primer!B25), Check!$B$82:$B$82), _xlfn.LAMBDA(_xlpm.dev_row, IF(MAX(_xlpm.dev_row) &lt;= CHK.Tol, "PASS", "FAIL")))</f>
        <v/>
      </c>
    </row>
    <row r="85" spans="1:11">
      <c r="A85" s="9" t="s">
        <v>230</v>
      </c>
      <c r="B85" s="1" t="s">
        <v>160</v>
      </c>
      <c r="C85" s="17" cm="1">
        <f t="array" ref="C85">MAX(FN.DEV((_xlfn.CHOOSECOLS(_xlfn.ANCHORARRAY(Primer!E30), 3)), Check!$B$87:$B$92))</f>
        <v>0</v>
      </c>
      <c r="D85" s="18" cm="1" t="str">
        <f t="array" ref="D85">IF(MAX(FN.DEV((_xlfn.CHOOSECOLS(_xlfn.ANCHORARRAY(Primer!E30), 3)), Check!$B$87:$B$92)) &lt;= CHK.Tol, "PASS", "FAIL")</f>
        <v/>
      </c>
    </row>
    <row r="86" spans="1:11">
      <c r="A86" s="9" t="s">
        <v>161</v>
      </c>
      <c r="B86" s="9" t="s">
        <v>162</v>
      </c>
      <c r="D86" s="9" t="s">
        <v>163</v>
      </c>
      <c r="F86" s="9" t="s">
        <v>164</v>
      </c>
      <c r="H86" s="9" t="s">
        <v>165</v>
      </c>
    </row>
    <row r="87" spans="1:11">
      <c r="A87" s="1" t="s">
        <v>231</v>
      </c>
      <c r="B87" s="7">
        <v>200</v>
      </c>
      <c r="D87" s="7" cm="1">
        <f t="array" ref="D87:D92">(_xlfn.CHOOSECOLS(_xlfn.ANCHORARRAY(Primer!E30), 3))</f>
        <v>0</v>
      </c>
      <c r="F87" s="17" cm="1">
        <f t="array" ref="F87:F92">FN.DEV((_xlfn.CHOOSECOLS(_xlfn.ANCHORARRAY(Primer!E30), 3)), Check!$B$87:$B$92)</f>
        <v>0</v>
      </c>
      <c r="H87" s="18" cm="1" t="str">
        <f t="array" ref="H87:H92">_xlfn.BYROW(FN.DEV((_xlfn.CHOOSECOLS(_xlfn.ANCHORARRAY(Primer!E30), 3)), Check!$B$87:$B$92), _xlfn.LAMBDA(_xlpm.dev_row, IF(MAX(_xlpm.dev_row) &lt;= CHK.Tol, "PASS", "FAIL")))</f>
        <v/>
      </c>
    </row>
    <row r="88" spans="1:11">
      <c r="A88" s="1" t="s">
        <v>232</v>
      </c>
      <c r="B88" s="7">
        <v>150</v>
      </c>
      <c r="D88" s="7">
        <v>0</v>
      </c>
      <c r="F88" s="17">
        <v>0</v>
      </c>
      <c r="H88" s="18">
        <v>0</v>
      </c>
    </row>
    <row r="89" spans="1:11">
      <c r="A89" s="1" t="s">
        <v>233</v>
      </c>
      <c r="B89" s="7">
        <v>120</v>
      </c>
      <c r="D89" s="7">
        <v>0</v>
      </c>
      <c r="F89" s="17">
        <v>0</v>
      </c>
      <c r="H89" s="18">
        <v>0</v>
      </c>
    </row>
    <row r="90" spans="1:11">
      <c r="A90" s="1" t="s">
        <v>234</v>
      </c>
      <c r="B90" s="7">
        <v>90</v>
      </c>
      <c r="D90" s="7">
        <v>0</v>
      </c>
      <c r="F90" s="17">
        <v>0</v>
      </c>
      <c r="H90" s="18">
        <v>0</v>
      </c>
    </row>
    <row r="91" spans="1:11">
      <c r="A91" s="1" t="s">
        <v>235</v>
      </c>
      <c r="B91" s="7">
        <v>80</v>
      </c>
      <c r="D91" s="7">
        <v>0</v>
      </c>
      <c r="F91" s="17">
        <v>0</v>
      </c>
      <c r="H91" s="18">
        <v>0</v>
      </c>
    </row>
    <row r="92" spans="1:11">
      <c r="A92" s="1" t="s">
        <v>236</v>
      </c>
      <c r="B92" s="7">
        <v>60</v>
      </c>
      <c r="D92" s="7">
        <v>0</v>
      </c>
      <c r="F92" s="17">
        <v>0</v>
      </c>
      <c r="H92" s="18">
        <v>0</v>
      </c>
    </row>
    <row r="95" spans="1:11">
      <c r="A95" s="9" t="s">
        <v>237</v>
      </c>
      <c r="B95" s="1" t="s">
        <v>160</v>
      </c>
      <c r="C95" s="17" cm="1">
        <f t="array" ref="C95">MAX(IF(EXACT((_xlfn.CHOOSECOLS(_xlfn.ANCHORARRAY(Primer!E30), 1, 2)), Check!$B$97:$C$102), 0, 1E+99))</f>
        <v>0</v>
      </c>
      <c r="D95" s="18" cm="1" t="str">
        <f t="array" ref="D95">IF(MAX(IF(EXACT((_xlfn.CHOOSECOLS(_xlfn.ANCHORARRAY(Primer!E30), 1, 2)), Check!$B$97:$C$102), 0, 1E+99)) &lt;= CHK.Tol, "PASS", "FAIL")</f>
        <v/>
      </c>
    </row>
    <row r="96" spans="1:11">
      <c r="A96" s="9" t="s">
        <v>161</v>
      </c>
      <c r="B96" s="9" t="s">
        <v>162</v>
      </c>
      <c r="C96" s="9" t="s">
        <v>193</v>
      </c>
      <c r="E96" s="9" t="s">
        <v>163</v>
      </c>
      <c r="F96" s="9" t="s">
        <v>194</v>
      </c>
      <c r="H96" s="9" t="s">
        <v>164</v>
      </c>
      <c r="I96" s="9" t="s">
        <v>195</v>
      </c>
      <c r="K96" s="9" t="s">
        <v>165</v>
      </c>
    </row>
    <row r="97" spans="1:11">
      <c r="A97" s="1" t="s">
        <v>238</v>
      </c>
      <c r="B97" s="1" t="s">
        <v>25</v>
      </c>
      <c r="C97" s="1" t="s">
        <v>26</v>
      </c>
      <c r="E97" s="1" cm="1">
        <f t="array" ref="E97:F102">(_xlfn.CHOOSECOLS(_xlfn.ANCHORARRAY(Primer!E30), 1, 2))</f>
        <v>0</v>
      </c>
      <c r="F97" s="1">
        <v>0</v>
      </c>
      <c r="H97" s="17" cm="1">
        <f t="array" ref="H97:I102">IF(EXACT((_xlfn.CHOOSECOLS(_xlfn.ANCHORARRAY(Primer!E30), 1, 2)), Check!$B$97:$C$102), 0, 1E+99)</f>
        <v>0</v>
      </c>
      <c r="I97" s="17">
        <v>0</v>
      </c>
      <c r="K97" s="18" cm="1" t="str">
        <f t="array" ref="K97:K102">_xlfn.BYROW(IF(EXACT((_xlfn.CHOOSECOLS(_xlfn.ANCHORARRAY(Primer!E30), 1, 2)), Check!$B$97:$C$102), 0, 1E+99), _xlfn.LAMBDA(_xlpm.dev_row, IF(MAX(_xlpm.dev_row) &lt;= CHK.Tol, "PASS", "FAIL")))</f>
        <v/>
      </c>
    </row>
    <row r="98" spans="1:11">
      <c r="A98" s="1" t="s">
        <v>239</v>
      </c>
      <c r="B98" s="1" t="s">
        <v>27</v>
      </c>
      <c r="C98" s="1" t="s">
        <v>24</v>
      </c>
      <c r="E98" s="1">
        <v>0</v>
      </c>
      <c r="F98" s="1">
        <v>0</v>
      </c>
      <c r="H98" s="17">
        <v>0</v>
      </c>
      <c r="I98" s="17">
        <v>0</v>
      </c>
      <c r="K98" s="18">
        <v>0</v>
      </c>
    </row>
    <row r="99" spans="1:11">
      <c r="A99" s="1" t="s">
        <v>240</v>
      </c>
      <c r="B99" s="1" t="s">
        <v>23</v>
      </c>
      <c r="C99" s="1" t="s">
        <v>24</v>
      </c>
      <c r="E99" s="1">
        <v>0</v>
      </c>
      <c r="F99" s="1">
        <v>0</v>
      </c>
      <c r="H99" s="17">
        <v>0</v>
      </c>
      <c r="I99" s="17">
        <v>0</v>
      </c>
      <c r="K99" s="18">
        <v>0</v>
      </c>
    </row>
    <row r="100" spans="1:11">
      <c r="A100" s="1" t="s">
        <v>241</v>
      </c>
      <c r="B100" s="1" t="s">
        <v>27</v>
      </c>
      <c r="C100" s="1" t="s">
        <v>26</v>
      </c>
      <c r="E100" s="1">
        <v>0</v>
      </c>
      <c r="F100" s="1">
        <v>0</v>
      </c>
      <c r="H100" s="17">
        <v>0</v>
      </c>
      <c r="I100" s="17">
        <v>0</v>
      </c>
      <c r="K100" s="18">
        <v>0</v>
      </c>
    </row>
    <row r="101" spans="1:11">
      <c r="A101" s="1" t="s">
        <v>242</v>
      </c>
      <c r="B101" s="1" t="s">
        <v>25</v>
      </c>
      <c r="C101" s="1" t="s">
        <v>24</v>
      </c>
      <c r="E101" s="1">
        <v>0</v>
      </c>
      <c r="F101" s="1">
        <v>0</v>
      </c>
      <c r="H101" s="17">
        <v>0</v>
      </c>
      <c r="I101" s="17">
        <v>0</v>
      </c>
      <c r="K101" s="18">
        <v>0</v>
      </c>
    </row>
    <row r="102" spans="1:11">
      <c r="A102" s="1" t="s">
        <v>243</v>
      </c>
      <c r="B102" s="1" t="s">
        <v>23</v>
      </c>
      <c r="C102" s="1" t="s">
        <v>26</v>
      </c>
      <c r="E102" s="1">
        <v>0</v>
      </c>
      <c r="F102" s="1">
        <v>0</v>
      </c>
      <c r="H102" s="17">
        <v>0</v>
      </c>
      <c r="I102" s="17">
        <v>0</v>
      </c>
      <c r="K102" s="18">
        <v>0</v>
      </c>
    </row>
    <row r="105" spans="1:11">
      <c r="A105" s="9" t="s">
        <v>244</v>
      </c>
      <c r="B105" s="1" t="s">
        <v>160</v>
      </c>
      <c r="C105" s="17" cm="1">
        <f t="array" ref="C105">MAX(IF(EXACT((_xlfn.ANCHORARRAY(Primer!B37)), Check!$B$107:$B$109), 0, 1E+99))</f>
        <v>0</v>
      </c>
      <c r="D105" s="18" cm="1" t="str">
        <f t="array" ref="D105">IF(MAX(IF(EXACT((_xlfn.ANCHORARRAY(Primer!B37)), Check!$B$107:$B$109), 0, 1E+99)) &lt;= CHK.Tol, "PASS", "FAIL")</f>
        <v/>
      </c>
    </row>
    <row r="106" spans="1:11">
      <c r="A106" s="9" t="s">
        <v>161</v>
      </c>
      <c r="B106" s="9" t="s">
        <v>162</v>
      </c>
      <c r="D106" s="9" t="s">
        <v>163</v>
      </c>
      <c r="F106" s="9" t="s">
        <v>164</v>
      </c>
      <c r="H106" s="9" t="s">
        <v>165</v>
      </c>
    </row>
    <row r="107" spans="1:11">
      <c r="A107" s="1" t="s">
        <v>245</v>
      </c>
      <c r="B107" s="1" t="s">
        <v>23</v>
      </c>
      <c r="D107" s="1" cm="1">
        <f t="array" ref="D107:D109">(_xlfn.ANCHORARRAY(Primer!B37))</f>
        <v>0</v>
      </c>
      <c r="F107" s="17" cm="1">
        <f t="array" ref="F107:F109">IF(EXACT((_xlfn.ANCHORARRAY(Primer!B37)), Check!$B$107:$B$109), 0, 1E+99)</f>
        <v>0</v>
      </c>
      <c r="H107" s="18" cm="1" t="str">
        <f t="array" ref="H107:H109">_xlfn.BYROW(IF(EXACT((_xlfn.ANCHORARRAY(Primer!B37)), Check!$B$107:$B$109), 0, 1E+99), _xlfn.LAMBDA(_xlpm.dev_row, IF(MAX(_xlpm.dev_row) &lt;= CHK.Tol, "PASS", "FAIL")))</f>
        <v/>
      </c>
    </row>
    <row r="108" spans="1:11">
      <c r="A108" s="1" t="s">
        <v>246</v>
      </c>
      <c r="B108" s="1" t="s">
        <v>25</v>
      </c>
      <c r="D108" s="1">
        <v>0</v>
      </c>
      <c r="F108" s="17">
        <v>0</v>
      </c>
      <c r="H108" s="18">
        <v>0</v>
      </c>
    </row>
    <row r="109" spans="1:11">
      <c r="A109" s="1" t="s">
        <v>247</v>
      </c>
      <c r="B109" s="1" t="s">
        <v>27</v>
      </c>
      <c r="D109" s="1">
        <v>0</v>
      </c>
      <c r="F109" s="17">
        <v>0</v>
      </c>
      <c r="H109" s="18">
        <v>0</v>
      </c>
    </row>
    <row r="112" spans="1:11">
      <c r="A112" s="9" t="s">
        <v>248</v>
      </c>
      <c r="B112" s="1" t="s">
        <v>160</v>
      </c>
      <c r="C112" s="17" cm="1">
        <f t="array" ref="C112">MAX(FN.DEV((_xlfn.CHOOSECOLS(_xlfn.ANCHORARRAY(Primer!B41), 3)), Check!$B$114:$B$116))</f>
        <v>0</v>
      </c>
      <c r="D112" s="18" cm="1" t="str">
        <f t="array" ref="D112">IF(MAX(FN.DEV((_xlfn.CHOOSECOLS(_xlfn.ANCHORARRAY(Primer!B41), 3)), Check!$B$114:$B$116)) &lt;= CHK.Tol, "PASS", "FAIL")</f>
        <v/>
      </c>
    </row>
    <row r="113" spans="1:11">
      <c r="A113" s="9" t="s">
        <v>161</v>
      </c>
      <c r="B113" s="9" t="s">
        <v>162</v>
      </c>
      <c r="D113" s="9" t="s">
        <v>163</v>
      </c>
      <c r="F113" s="9" t="s">
        <v>164</v>
      </c>
      <c r="H113" s="9" t="s">
        <v>165</v>
      </c>
    </row>
    <row r="114" spans="1:11">
      <c r="A114" s="1" t="s">
        <v>249</v>
      </c>
      <c r="B114" s="7">
        <v>120</v>
      </c>
      <c r="D114" s="7" cm="1">
        <f t="array" ref="D114:D116">(_xlfn.CHOOSECOLS(_xlfn.ANCHORARRAY(Primer!B41), 3))</f>
        <v>0</v>
      </c>
      <c r="F114" s="17" cm="1">
        <f t="array" ref="F114:F116">FN.DEV((_xlfn.CHOOSECOLS(_xlfn.ANCHORARRAY(Primer!B41), 3)), Check!$B$114:$B$116)</f>
        <v>0</v>
      </c>
      <c r="H114" s="18" cm="1" t="str">
        <f t="array" ref="H114:H116">_xlfn.BYROW(FN.DEV((_xlfn.CHOOSECOLS(_xlfn.ANCHORARRAY(Primer!B41), 3)), Check!$B$114:$B$116), _xlfn.LAMBDA(_xlpm.dev_row, IF(MAX(_xlpm.dev_row) &lt;= CHK.Tol, "PASS", "FAIL")))</f>
        <v/>
      </c>
    </row>
    <row r="115" spans="1:11">
      <c r="A115" s="1" t="s">
        <v>250</v>
      </c>
      <c r="B115" s="7">
        <v>150</v>
      </c>
      <c r="D115" s="7">
        <v>0</v>
      </c>
      <c r="F115" s="17">
        <v>0</v>
      </c>
      <c r="H115" s="18">
        <v>0</v>
      </c>
    </row>
    <row r="116" spans="1:11">
      <c r="A116" s="1" t="s">
        <v>251</v>
      </c>
      <c r="B116" s="7">
        <v>200</v>
      </c>
      <c r="D116" s="7">
        <v>0</v>
      </c>
      <c r="F116" s="17">
        <v>0</v>
      </c>
      <c r="H116" s="18">
        <v>0</v>
      </c>
    </row>
    <row r="119" spans="1:11">
      <c r="A119" s="9" t="s">
        <v>252</v>
      </c>
      <c r="B119" s="1" t="s">
        <v>160</v>
      </c>
      <c r="C119" s="17" cm="1">
        <f t="array" ref="C119">MAX(IF(EXACT((_xlfn.CHOOSECOLS(_xlfn.ANCHORARRAY(Primer!B41), 1, 2)), Check!$B$121:$C$123), 0, 1E+99))</f>
        <v>0</v>
      </c>
      <c r="D119" s="18" cm="1" t="str">
        <f t="array" ref="D119">IF(MAX(IF(EXACT((_xlfn.CHOOSECOLS(_xlfn.ANCHORARRAY(Primer!B41), 1, 2)), Check!$B$121:$C$123), 0, 1E+99)) &lt;= CHK.Tol, "PASS", "FAIL")</f>
        <v/>
      </c>
    </row>
    <row r="120" spans="1:11">
      <c r="A120" s="9" t="s">
        <v>161</v>
      </c>
      <c r="B120" s="9" t="s">
        <v>162</v>
      </c>
      <c r="C120" s="9" t="s">
        <v>193</v>
      </c>
      <c r="E120" s="9" t="s">
        <v>163</v>
      </c>
      <c r="F120" s="9" t="s">
        <v>194</v>
      </c>
      <c r="H120" s="9" t="s">
        <v>164</v>
      </c>
      <c r="I120" s="9" t="s">
        <v>195</v>
      </c>
      <c r="K120" s="9" t="s">
        <v>165</v>
      </c>
    </row>
    <row r="121" spans="1:11">
      <c r="A121" s="1" t="s">
        <v>253</v>
      </c>
      <c r="B121" s="1" t="s">
        <v>23</v>
      </c>
      <c r="C121" s="1" t="s">
        <v>24</v>
      </c>
      <c r="E121" s="1" cm="1">
        <f t="array" ref="E121:F123">(_xlfn.CHOOSECOLS(_xlfn.ANCHORARRAY(Primer!B41), 1, 2))</f>
        <v>0</v>
      </c>
      <c r="F121" s="1">
        <v>0</v>
      </c>
      <c r="H121" s="17" cm="1">
        <f t="array" ref="H121:I123">IF(EXACT((_xlfn.CHOOSECOLS(_xlfn.ANCHORARRAY(Primer!B41), 1, 2)), Check!$B$121:$C$123), 0, 1E+99)</f>
        <v>0</v>
      </c>
      <c r="I121" s="17">
        <v>0</v>
      </c>
      <c r="K121" s="18" cm="1" t="str">
        <f t="array" ref="K121:K123">_xlfn.BYROW(IF(EXACT((_xlfn.CHOOSECOLS(_xlfn.ANCHORARRAY(Primer!B41), 1, 2)), Check!$B$121:$C$123), 0, 1E+99), _xlfn.LAMBDA(_xlpm.dev_row, IF(MAX(_xlpm.dev_row) &lt;= CHK.Tol, "PASS", "FAIL")))</f>
        <v/>
      </c>
    </row>
    <row r="122" spans="1:11">
      <c r="A122" s="1" t="s">
        <v>254</v>
      </c>
      <c r="B122" s="1" t="s">
        <v>27</v>
      </c>
      <c r="C122" s="1" t="s">
        <v>24</v>
      </c>
      <c r="E122" s="1">
        <v>0</v>
      </c>
      <c r="F122" s="1">
        <v>0</v>
      </c>
      <c r="H122" s="17">
        <v>0</v>
      </c>
      <c r="I122" s="17">
        <v>0</v>
      </c>
      <c r="K122" s="18">
        <v>0</v>
      </c>
    </row>
    <row r="123" spans="1:11">
      <c r="A123" s="1" t="s">
        <v>255</v>
      </c>
      <c r="B123" s="1" t="s">
        <v>25</v>
      </c>
      <c r="C123" s="1" t="s">
        <v>26</v>
      </c>
      <c r="E123" s="1">
        <v>0</v>
      </c>
      <c r="F123" s="1">
        <v>0</v>
      </c>
      <c r="H123" s="17">
        <v>0</v>
      </c>
      <c r="I123" s="17">
        <v>0</v>
      </c>
      <c r="K123" s="18">
        <v>0</v>
      </c>
    </row>
    <row r="126" spans="1:11">
      <c r="A126" s="9" t="s">
        <v>256</v>
      </c>
      <c r="B126" s="1" t="s">
        <v>160</v>
      </c>
      <c r="C126" s="17" cm="1">
        <f t="array" ref="C126">MAX(FN.DEV((ERROR.TYPE(Primer!B45)), Check!$B$128:$B$128))</f>
        <v>0</v>
      </c>
      <c r="D126" s="18" cm="1" t="str">
        <f t="array" ref="D126">IF(MAX(FN.DEV((ERROR.TYPE(Primer!B45)), Check!$B$128:$B$128)) &lt;= CHK.Tol, "PASS", "FAIL")</f>
        <v/>
      </c>
    </row>
    <row r="127" spans="1:11">
      <c r="A127" s="9" t="s">
        <v>161</v>
      </c>
      <c r="B127" s="9" t="s">
        <v>162</v>
      </c>
      <c r="D127" s="9" t="s">
        <v>163</v>
      </c>
      <c r="F127" s="9" t="s">
        <v>164</v>
      </c>
      <c r="H127" s="9" t="s">
        <v>165</v>
      </c>
    </row>
    <row r="128" spans="1:11">
      <c r="A128" s="1" t="s">
        <v>257</v>
      </c>
      <c r="B128" s="7">
        <v>9</v>
      </c>
      <c r="D128" s="7" cm="1">
        <f t="array" ref="D128">(ERROR.TYPE(Primer!B45))</f>
        <v>0</v>
      </c>
      <c r="F128" s="17" cm="1">
        <f t="array" ref="F128">FN.DEV((ERROR.TYPE(Primer!B45)), Check!$B$128:$B$128)</f>
        <v>0</v>
      </c>
      <c r="H128" s="18" cm="1" t="str">
        <f t="array" ref="H128">_xlfn.BYROW(FN.DEV((ERROR.TYPE(Primer!B45)), Check!$B$128:$B$128), _xlfn.LAMBDA(_xlpm.dev_row, IF(MAX(_xlpm.dev_row) &lt;= CHK.Tol, "PASS", "FAIL")))</f>
        <v/>
      </c>
    </row>
    <row r="131" spans="1:20">
      <c r="A131" s="9" t="s">
        <v>258</v>
      </c>
      <c r="B131" s="1" t="s">
        <v>160</v>
      </c>
      <c r="C131" s="17" cm="1">
        <f t="array" ref="C131">MAX(FN.DEV((_xlfn.ANCHORARRAY('0 Tables'!B12)), Check!$B$133:$B$135))</f>
        <v>0</v>
      </c>
      <c r="D131" s="18" cm="1" t="str">
        <f t="array" ref="D131">IF(MAX(FN.DEV((_xlfn.ANCHORARRAY('0 Tables'!B12)), Check!$B$133:$B$135)) &lt;= CHK.Tol, "PASS", "FAIL")</f>
        <v/>
      </c>
    </row>
    <row r="132" spans="1:20">
      <c r="A132" s="9" t="s">
        <v>161</v>
      </c>
      <c r="B132" s="9" t="s">
        <v>162</v>
      </c>
      <c r="D132" s="9" t="s">
        <v>163</v>
      </c>
      <c r="F132" s="9" t="s">
        <v>164</v>
      </c>
      <c r="H132" s="9" t="s">
        <v>165</v>
      </c>
    </row>
    <row r="133" spans="1:20">
      <c r="A133" s="1" t="s">
        <v>259</v>
      </c>
      <c r="B133" s="7">
        <v>0.1</v>
      </c>
      <c r="D133" s="7" cm="1">
        <f t="array" ref="D133:D135">(_xlfn.ANCHORARRAY('0 Tables'!B12))</f>
        <v>0</v>
      </c>
      <c r="F133" s="17" cm="1">
        <f t="array" ref="F133:F135">FN.DEV((_xlfn.ANCHORARRAY('0 Tables'!B12)), Check!$B$133:$B$135)</f>
        <v>0</v>
      </c>
      <c r="H133" s="18" cm="1" t="str">
        <f t="array" ref="H133:H135">_xlfn.BYROW(FN.DEV((_xlfn.ANCHORARRAY('0 Tables'!B12)), Check!$B$133:$B$135), _xlfn.LAMBDA(_xlpm.dev_row, IF(MAX(_xlpm.dev_row) &lt;= CHK.Tol, "PASS", "FAIL")))</f>
        <v/>
      </c>
    </row>
    <row r="134" spans="1:20">
      <c r="A134" s="1" t="s">
        <v>260</v>
      </c>
      <c r="B134" s="7">
        <v>0.05</v>
      </c>
      <c r="D134" s="7">
        <v>0</v>
      </c>
      <c r="F134" s="17">
        <v>0</v>
      </c>
      <c r="H134" s="18">
        <v>0</v>
      </c>
    </row>
    <row r="135" spans="1:20">
      <c r="A135" s="1" t="s">
        <v>261</v>
      </c>
      <c r="B135" s="7">
        <v>0</v>
      </c>
      <c r="D135" s="7">
        <v>0</v>
      </c>
      <c r="F135" s="17">
        <v>0</v>
      </c>
      <c r="H135" s="18">
        <v>0</v>
      </c>
    </row>
    <row r="138" spans="1:20">
      <c r="A138" s="9" t="s">
        <v>262</v>
      </c>
      <c r="B138" s="1" t="s">
        <v>160</v>
      </c>
      <c r="C138" s="17" cm="1">
        <f t="array" ref="C138">MAX(FN.DEV(('0 Tables'!B16), Check!$B$140:$B$140))</f>
        <v>0</v>
      </c>
      <c r="D138" s="18" cm="1" t="str">
        <f t="array" ref="D138">IF(MAX(FN.DEV(('0 Tables'!B16), Check!$B$140:$B$140)) &lt;= CHK.Tol, "PASS", "FAIL")</f>
        <v/>
      </c>
    </row>
    <row r="139" spans="1:20">
      <c r="A139" s="9" t="s">
        <v>161</v>
      </c>
      <c r="B139" s="9" t="s">
        <v>162</v>
      </c>
      <c r="D139" s="9" t="s">
        <v>163</v>
      </c>
      <c r="F139" s="9" t="s">
        <v>164</v>
      </c>
      <c r="H139" s="9" t="s">
        <v>165</v>
      </c>
    </row>
    <row r="140" spans="1:20">
      <c r="A140" s="1" t="s">
        <v>263</v>
      </c>
      <c r="B140" s="7">
        <v>0.1</v>
      </c>
      <c r="D140" s="7" cm="1">
        <f t="array" ref="D140">('0 Tables'!B16)</f>
        <v>0</v>
      </c>
      <c r="F140" s="17" cm="1">
        <f t="array" ref="F140">FN.DEV(('0 Tables'!B16), Check!$B$140:$B$140)</f>
        <v>0</v>
      </c>
      <c r="H140" s="18" cm="1" t="str">
        <f t="array" ref="H140">_xlfn.BYROW(FN.DEV(('0 Tables'!B16), Check!$B$140:$B$140), _xlfn.LAMBDA(_xlpm.dev_row, IF(MAX(_xlpm.dev_row) &lt;= CHK.Tol, "PASS", "FAIL")))</f>
        <v/>
      </c>
    </row>
    <row r="143" spans="1:20">
      <c r="A143" s="9" t="s">
        <v>264</v>
      </c>
      <c r="B143" s="1" t="s">
        <v>160</v>
      </c>
      <c r="C143" s="17" cm="1">
        <f t="array" ref="C143">MAX(FN.DEV((_xlfn.ANCHORARRAY('1 Timeline'!C7)), Check!$B$145:$F$145))</f>
        <v>0</v>
      </c>
      <c r="D143" s="18" cm="1" t="str">
        <f t="array" ref="D143">IF(MAX(FN.DEV((_xlfn.ANCHORARRAY('1 Timeline'!C7)), Check!$B$145:$F$145)) &lt;= CHK.Tol, "PASS", "FAIL")</f>
        <v/>
      </c>
    </row>
    <row r="144" spans="1:20">
      <c r="A144" s="9" t="s">
        <v>161</v>
      </c>
      <c r="B144" s="9" t="s">
        <v>162</v>
      </c>
      <c r="C144" s="9" t="s">
        <v>193</v>
      </c>
      <c r="D144" s="9" t="s">
        <v>196</v>
      </c>
      <c r="E144" s="9" t="s">
        <v>199</v>
      </c>
      <c r="F144" s="9" t="s">
        <v>202</v>
      </c>
      <c r="H144" s="9" t="s">
        <v>163</v>
      </c>
      <c r="I144" s="9" t="s">
        <v>194</v>
      </c>
      <c r="J144" s="9" t="s">
        <v>197</v>
      </c>
      <c r="K144" s="9" t="s">
        <v>200</v>
      </c>
      <c r="L144" s="9" t="s">
        <v>203</v>
      </c>
      <c r="N144" s="9" t="s">
        <v>164</v>
      </c>
      <c r="O144" s="9" t="s">
        <v>195</v>
      </c>
      <c r="P144" s="9" t="s">
        <v>198</v>
      </c>
      <c r="Q144" s="9" t="s">
        <v>201</v>
      </c>
      <c r="R144" s="9" t="s">
        <v>204</v>
      </c>
      <c r="T144" s="9" t="s">
        <v>165</v>
      </c>
    </row>
    <row r="145" spans="1:20">
      <c r="A145" s="1" t="s">
        <v>265</v>
      </c>
      <c r="B145" s="7">
        <v>45291</v>
      </c>
      <c r="C145" s="7">
        <v>45322</v>
      </c>
      <c r="D145" s="7">
        <v>45351</v>
      </c>
      <c r="E145" s="7">
        <v>45382</v>
      </c>
      <c r="F145" s="7">
        <v>45412</v>
      </c>
      <c r="H145" s="7" cm="1">
        <f t="array" ref="H145:L145">(_xlfn.ANCHORARRAY('1 Timeline'!C7))</f>
        <v>0</v>
      </c>
      <c r="I145" s="7">
        <v>0</v>
      </c>
      <c r="J145" s="7">
        <v>0</v>
      </c>
      <c r="K145" s="7">
        <v>0</v>
      </c>
      <c r="L145" s="7">
        <v>0</v>
      </c>
      <c r="N145" s="17" cm="1">
        <f t="array" ref="N145:R145">FN.DEV((_xlfn.ANCHORARRAY('1 Timeline'!C7)), Check!$B$145:$F$145)</f>
        <v>0</v>
      </c>
      <c r="O145" s="17">
        <v>0</v>
      </c>
      <c r="P145" s="17">
        <v>0</v>
      </c>
      <c r="Q145" s="17">
        <v>0</v>
      </c>
      <c r="R145" s="17">
        <v>0</v>
      </c>
      <c r="T145" s="18" cm="1" t="str">
        <f t="array" ref="T145">_xlfn.BYROW(FN.DEV((_xlfn.ANCHORARRAY('1 Timeline'!C7)), Check!$B$145:$F$145), _xlfn.LAMBDA(_xlpm.dev_row, IF(MAX(_xlpm.dev_row) &lt;= CHK.Tol, "PASS", "FAIL")))</f>
        <v/>
      </c>
    </row>
    <row r="148" spans="1:20">
      <c r="A148" s="9" t="s">
        <v>266</v>
      </c>
      <c r="B148" s="1" t="s">
        <v>160</v>
      </c>
      <c r="C148" s="17" cm="1">
        <f t="array" ref="C148">MAX(FN.DEV((PeriodEnd), Check!$B$150:$F$150))</f>
        <v>0</v>
      </c>
      <c r="D148" s="18" cm="1" t="str">
        <f t="array" ref="D148">IF(MAX(FN.DEV((PeriodEnd), Check!$B$150:$F$150)) &lt;= CHK.Tol, "PASS", "FAIL")</f>
        <v/>
      </c>
    </row>
    <row r="149" spans="1:20">
      <c r="A149" s="9" t="s">
        <v>161</v>
      </c>
      <c r="B149" s="9" t="s">
        <v>162</v>
      </c>
      <c r="C149" s="9" t="s">
        <v>193</v>
      </c>
      <c r="D149" s="9" t="s">
        <v>196</v>
      </c>
      <c r="E149" s="9" t="s">
        <v>199</v>
      </c>
      <c r="F149" s="9" t="s">
        <v>202</v>
      </c>
      <c r="H149" s="9" t="s">
        <v>163</v>
      </c>
      <c r="I149" s="9" t="s">
        <v>194</v>
      </c>
      <c r="J149" s="9" t="s">
        <v>197</v>
      </c>
      <c r="K149" s="9" t="s">
        <v>200</v>
      </c>
      <c r="L149" s="9" t="s">
        <v>203</v>
      </c>
      <c r="N149" s="9" t="s">
        <v>164</v>
      </c>
      <c r="O149" s="9" t="s">
        <v>195</v>
      </c>
      <c r="P149" s="9" t="s">
        <v>198</v>
      </c>
      <c r="Q149" s="9" t="s">
        <v>201</v>
      </c>
      <c r="R149" s="9" t="s">
        <v>204</v>
      </c>
      <c r="T149" s="9" t="s">
        <v>165</v>
      </c>
    </row>
    <row r="150" spans="1:20">
      <c r="A150" s="1" t="s">
        <v>267</v>
      </c>
      <c r="B150" s="7">
        <v>45291</v>
      </c>
      <c r="C150" s="7">
        <v>45657</v>
      </c>
      <c r="D150" s="7">
        <v>46022</v>
      </c>
      <c r="E150" s="7">
        <v>46387</v>
      </c>
      <c r="F150" s="7">
        <v>46752</v>
      </c>
      <c r="H150" s="7" cm="1">
        <f t="array" ref="H150:L150">(PeriodEnd)</f>
        <v>0</v>
      </c>
      <c r="I150" s="7">
        <v>0</v>
      </c>
      <c r="J150" s="7">
        <v>0</v>
      </c>
      <c r="K150" s="7">
        <v>0</v>
      </c>
      <c r="L150" s="7">
        <v>0</v>
      </c>
      <c r="N150" s="17" cm="1">
        <f t="array" ref="N150:R150">FN.DEV((PeriodEnd), Check!$B$150:$F$150)</f>
        <v>0</v>
      </c>
      <c r="O150" s="17">
        <v>0</v>
      </c>
      <c r="P150" s="17">
        <v>0</v>
      </c>
      <c r="Q150" s="17">
        <v>0</v>
      </c>
      <c r="R150" s="17">
        <v>0</v>
      </c>
      <c r="T150" s="18" cm="1" t="str">
        <f t="array" ref="T150">_xlfn.BYROW(FN.DEV((PeriodEnd), Check!$B$150:$F$150), _xlfn.LAMBDA(_xlpm.dev_row, IF(MAX(_xlpm.dev_row) &lt;= CHK.Tol, "PASS", "FAIL")))</f>
        <v/>
      </c>
    </row>
    <row r="153" spans="1:20">
      <c r="A153" s="9" t="s">
        <v>268</v>
      </c>
      <c r="B153" s="1" t="s">
        <v>160</v>
      </c>
      <c r="C153" s="17" cm="1">
        <f t="array" ref="C153">MAX(FN.DEV((Years), Check!$B$155:$F$155))</f>
        <v>0</v>
      </c>
      <c r="D153" s="18" cm="1" t="str">
        <f t="array" ref="D153">IF(MAX(FN.DEV((Years), Check!$B$155:$F$155)) &lt;= CHK.Tol, "PASS", "FAIL")</f>
        <v/>
      </c>
    </row>
    <row r="154" spans="1:20">
      <c r="A154" s="9" t="s">
        <v>161</v>
      </c>
      <c r="B154" s="9" t="s">
        <v>162</v>
      </c>
      <c r="C154" s="9" t="s">
        <v>193</v>
      </c>
      <c r="D154" s="9" t="s">
        <v>196</v>
      </c>
      <c r="E154" s="9" t="s">
        <v>199</v>
      </c>
      <c r="F154" s="9" t="s">
        <v>202</v>
      </c>
      <c r="H154" s="9" t="s">
        <v>163</v>
      </c>
      <c r="I154" s="9" t="s">
        <v>194</v>
      </c>
      <c r="J154" s="9" t="s">
        <v>197</v>
      </c>
      <c r="K154" s="9" t="s">
        <v>200</v>
      </c>
      <c r="L154" s="9" t="s">
        <v>203</v>
      </c>
      <c r="N154" s="9" t="s">
        <v>164</v>
      </c>
      <c r="O154" s="9" t="s">
        <v>195</v>
      </c>
      <c r="P154" s="9" t="s">
        <v>198</v>
      </c>
      <c r="Q154" s="9" t="s">
        <v>201</v>
      </c>
      <c r="R154" s="9" t="s">
        <v>204</v>
      </c>
      <c r="T154" s="9" t="s">
        <v>165</v>
      </c>
    </row>
    <row r="155" spans="1:20">
      <c r="A155" s="1" t="s">
        <v>269</v>
      </c>
      <c r="B155" s="7">
        <v>2023</v>
      </c>
      <c r="C155" s="7">
        <v>2024</v>
      </c>
      <c r="D155" s="7">
        <v>2025</v>
      </c>
      <c r="E155" s="7">
        <v>2026</v>
      </c>
      <c r="F155" s="7">
        <v>2027</v>
      </c>
      <c r="H155" s="7" cm="1">
        <f t="array" ref="H155:L155">(Years)</f>
        <v>0</v>
      </c>
      <c r="I155" s="7">
        <v>0</v>
      </c>
      <c r="J155" s="7">
        <v>0</v>
      </c>
      <c r="K155" s="7">
        <v>0</v>
      </c>
      <c r="L155" s="7">
        <v>0</v>
      </c>
      <c r="N155" s="17" cm="1">
        <f t="array" ref="N155:R155">FN.DEV((Years), Check!$B$155:$F$155)</f>
        <v>0</v>
      </c>
      <c r="O155" s="17">
        <v>0</v>
      </c>
      <c r="P155" s="17">
        <v>0</v>
      </c>
      <c r="Q155" s="17">
        <v>0</v>
      </c>
      <c r="R155" s="17">
        <v>0</v>
      </c>
      <c r="T155" s="18" cm="1" t="str">
        <f t="array" ref="T155">_xlfn.BYROW(FN.DEV((Years), Check!$B$155:$F$155), _xlfn.LAMBDA(_xlpm.dev_row, IF(MAX(_xlpm.dev_row) &lt;= CHK.Tol, "PASS", "FAIL")))</f>
        <v/>
      </c>
    </row>
    <row r="158" spans="1:20">
      <c r="A158" s="9" t="s">
        <v>270</v>
      </c>
      <c r="B158" s="1" t="s">
        <v>160</v>
      </c>
      <c r="C158" s="17" cm="1">
        <f t="array" ref="C158">MAX(FN.DEV((_xlfn.ANCHORARRAY('1 Timeline'!C13)), Check!$B$160:$F$160))</f>
        <v>0</v>
      </c>
      <c r="D158" s="18" cm="1" t="str">
        <f t="array" ref="D158">IF(MAX(FN.DEV((_xlfn.ANCHORARRAY('1 Timeline'!C13)), Check!$B$160:$F$160)) &lt;= CHK.Tol, "PASS", "FAIL")</f>
        <v/>
      </c>
    </row>
    <row r="159" spans="1:20">
      <c r="A159" s="9" t="s">
        <v>161</v>
      </c>
      <c r="B159" s="9" t="s">
        <v>162</v>
      </c>
      <c r="C159" s="9" t="s">
        <v>193</v>
      </c>
      <c r="D159" s="9" t="s">
        <v>196</v>
      </c>
      <c r="E159" s="9" t="s">
        <v>199</v>
      </c>
      <c r="F159" s="9" t="s">
        <v>202</v>
      </c>
      <c r="H159" s="9" t="s">
        <v>163</v>
      </c>
      <c r="I159" s="9" t="s">
        <v>194</v>
      </c>
      <c r="J159" s="9" t="s">
        <v>197</v>
      </c>
      <c r="K159" s="9" t="s">
        <v>200</v>
      </c>
      <c r="L159" s="9" t="s">
        <v>203</v>
      </c>
      <c r="N159" s="9" t="s">
        <v>164</v>
      </c>
      <c r="O159" s="9" t="s">
        <v>195</v>
      </c>
      <c r="P159" s="9" t="s">
        <v>198</v>
      </c>
      <c r="Q159" s="9" t="s">
        <v>201</v>
      </c>
      <c r="R159" s="9" t="s">
        <v>204</v>
      </c>
      <c r="T159" s="9" t="s">
        <v>165</v>
      </c>
    </row>
    <row r="160" spans="1:20">
      <c r="A160" s="1" t="s">
        <v>271</v>
      </c>
      <c r="B160" s="7">
        <v>2024</v>
      </c>
      <c r="C160" s="7">
        <v>2025</v>
      </c>
      <c r="D160" s="7">
        <v>2026</v>
      </c>
      <c r="E160" s="7">
        <v>2027</v>
      </c>
      <c r="F160" s="7">
        <v>2028</v>
      </c>
      <c r="H160" s="7" cm="1">
        <f t="array" ref="H160:L160">(_xlfn.ANCHORARRAY('1 Timeline'!C13))</f>
        <v>0</v>
      </c>
      <c r="I160" s="7">
        <v>0</v>
      </c>
      <c r="J160" s="7">
        <v>0</v>
      </c>
      <c r="K160" s="7">
        <v>0</v>
      </c>
      <c r="L160" s="7">
        <v>0</v>
      </c>
      <c r="N160" s="17" cm="1">
        <f t="array" ref="N160:R160">FN.DEV((_xlfn.ANCHORARRAY('1 Timeline'!C13)), Check!$B$160:$F$160)</f>
        <v>0</v>
      </c>
      <c r="O160" s="17">
        <v>0</v>
      </c>
      <c r="P160" s="17">
        <v>0</v>
      </c>
      <c r="Q160" s="17">
        <v>0</v>
      </c>
      <c r="R160" s="17">
        <v>0</v>
      </c>
      <c r="T160" s="18" cm="1" t="str">
        <f t="array" ref="T160">_xlfn.BYROW(FN.DEV((_xlfn.ANCHORARRAY('1 Timeline'!C13)), Check!$B$160:$F$160), _xlfn.LAMBDA(_xlpm.dev_row, IF(MAX(_xlpm.dev_row) &lt;= CHK.Tol, "PASS", "FAIL")))</f>
        <v/>
      </c>
    </row>
    <row r="163" spans="1:20">
      <c r="A163" s="9" t="s">
        <v>272</v>
      </c>
      <c r="B163" s="1" t="s">
        <v>160</v>
      </c>
      <c r="C163" s="17" cm="1">
        <f t="array" ref="C163">MAX(FN.DEV((Revenue), Check!$B$165:$F$167))</f>
        <v>0</v>
      </c>
      <c r="D163" s="18" cm="1" t="str">
        <f t="array" ref="D163">IF(MAX(FN.DEV((Revenue), Check!$B$165:$F$167)) &lt;= CHK.Tol, "PASS", "FAIL")</f>
        <v/>
      </c>
    </row>
    <row r="164" spans="1:20">
      <c r="A164" s="9" t="s">
        <v>161</v>
      </c>
      <c r="B164" s="9" t="s">
        <v>162</v>
      </c>
      <c r="C164" s="9" t="s">
        <v>193</v>
      </c>
      <c r="D164" s="9" t="s">
        <v>196</v>
      </c>
      <c r="E164" s="9" t="s">
        <v>199</v>
      </c>
      <c r="F164" s="9" t="s">
        <v>202</v>
      </c>
      <c r="H164" s="9" t="s">
        <v>163</v>
      </c>
      <c r="I164" s="9" t="s">
        <v>194</v>
      </c>
      <c r="J164" s="9" t="s">
        <v>197</v>
      </c>
      <c r="K164" s="9" t="s">
        <v>200</v>
      </c>
      <c r="L164" s="9" t="s">
        <v>203</v>
      </c>
      <c r="N164" s="9" t="s">
        <v>164</v>
      </c>
      <c r="O164" s="9" t="s">
        <v>195</v>
      </c>
      <c r="P164" s="9" t="s">
        <v>198</v>
      </c>
      <c r="Q164" s="9" t="s">
        <v>201</v>
      </c>
      <c r="R164" s="9" t="s">
        <v>204</v>
      </c>
      <c r="T164" s="9" t="s">
        <v>165</v>
      </c>
    </row>
    <row r="165" spans="1:20">
      <c r="A165" s="1" t="s">
        <v>273</v>
      </c>
      <c r="B165" s="7">
        <v>100</v>
      </c>
      <c r="C165" s="7">
        <v>110</v>
      </c>
      <c r="D165" s="7">
        <v>121</v>
      </c>
      <c r="E165" s="7">
        <v>133.1000000000001</v>
      </c>
      <c r="F165" s="7">
        <v>146.4100000000001</v>
      </c>
      <c r="H165" s="7" cm="1">
        <f t="array" ref="H165:L167">(Revenue)</f>
        <v>0</v>
      </c>
      <c r="I165" s="7">
        <v>0</v>
      </c>
      <c r="J165" s="7">
        <v>0</v>
      </c>
      <c r="K165" s="7">
        <v>0</v>
      </c>
      <c r="L165" s="7">
        <v>0</v>
      </c>
      <c r="N165" s="17" cm="1">
        <f t="array" ref="N165:R167">FN.DEV((Revenue), Check!$B$165:$F$167)</f>
        <v>0</v>
      </c>
      <c r="O165" s="17">
        <v>0</v>
      </c>
      <c r="P165" s="17">
        <v>0</v>
      </c>
      <c r="Q165" s="17">
        <v>0</v>
      </c>
      <c r="R165" s="17">
        <v>0</v>
      </c>
      <c r="T165" s="18" cm="1" t="str">
        <f t="array" ref="T165:T167">_xlfn.BYROW(FN.DEV((Revenue), Check!$B$165:$F$167), _xlfn.LAMBDA(_xlpm.dev_row, IF(MAX(_xlpm.dev_row) &lt;= CHK.Tol, "PASS", "FAIL")))</f>
        <v/>
      </c>
    </row>
    <row r="166" spans="1:20">
      <c r="A166" s="1" t="s">
        <v>274</v>
      </c>
      <c r="B166" s="7">
        <v>200</v>
      </c>
      <c r="C166" s="7">
        <v>210</v>
      </c>
      <c r="D166" s="7">
        <v>220.5</v>
      </c>
      <c r="E166" s="7">
        <v>231.525</v>
      </c>
      <c r="F166" s="7">
        <v>243.1012500000001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T166" s="18">
        <v>0</v>
      </c>
    </row>
    <row r="167" spans="1:20">
      <c r="A167" s="1" t="s">
        <v>275</v>
      </c>
      <c r="B167" s="7">
        <v>400</v>
      </c>
      <c r="C167" s="7">
        <v>400</v>
      </c>
      <c r="D167" s="7">
        <v>400</v>
      </c>
      <c r="E167" s="7">
        <v>400</v>
      </c>
      <c r="F167" s="7">
        <v>400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T167" s="18">
        <v>0</v>
      </c>
    </row>
    <row r="170" spans="1:20">
      <c r="A170" s="9" t="s">
        <v>276</v>
      </c>
      <c r="B170" s="1" t="s">
        <v>160</v>
      </c>
      <c r="C170" s="17" cm="1">
        <f t="array" ref="C170">MAX(FN.DEV((COGS), Check!$B$172:$F$174))</f>
        <v>0</v>
      </c>
      <c r="D170" s="18" cm="1" t="str">
        <f t="array" ref="D170">IF(MAX(FN.DEV((COGS), Check!$B$172:$F$174)) &lt;= CHK.Tol, "PASS", "FAIL")</f>
        <v/>
      </c>
    </row>
    <row r="171" spans="1:20">
      <c r="A171" s="9" t="s">
        <v>161</v>
      </c>
      <c r="B171" s="9" t="s">
        <v>162</v>
      </c>
      <c r="C171" s="9" t="s">
        <v>193</v>
      </c>
      <c r="D171" s="9" t="s">
        <v>196</v>
      </c>
      <c r="E171" s="9" t="s">
        <v>199</v>
      </c>
      <c r="F171" s="9" t="s">
        <v>202</v>
      </c>
      <c r="H171" s="9" t="s">
        <v>163</v>
      </c>
      <c r="I171" s="9" t="s">
        <v>194</v>
      </c>
      <c r="J171" s="9" t="s">
        <v>197</v>
      </c>
      <c r="K171" s="9" t="s">
        <v>200</v>
      </c>
      <c r="L171" s="9" t="s">
        <v>203</v>
      </c>
      <c r="N171" s="9" t="s">
        <v>164</v>
      </c>
      <c r="O171" s="9" t="s">
        <v>195</v>
      </c>
      <c r="P171" s="9" t="s">
        <v>198</v>
      </c>
      <c r="Q171" s="9" t="s">
        <v>201</v>
      </c>
      <c r="R171" s="9" t="s">
        <v>204</v>
      </c>
      <c r="T171" s="9" t="s">
        <v>165</v>
      </c>
    </row>
    <row r="172" spans="1:20">
      <c r="A172" s="1" t="s">
        <v>277</v>
      </c>
      <c r="B172" s="7">
        <v>60</v>
      </c>
      <c r="C172" s="7">
        <v>66</v>
      </c>
      <c r="D172" s="7">
        <v>72.60000000000001</v>
      </c>
      <c r="E172" s="7">
        <v>79.86000000000003</v>
      </c>
      <c r="F172" s="7">
        <v>87.84600000000003</v>
      </c>
      <c r="H172" s="7" cm="1">
        <f t="array" ref="H172:L174">(COGS)</f>
        <v>0</v>
      </c>
      <c r="I172" s="7">
        <v>0</v>
      </c>
      <c r="J172" s="7">
        <v>0</v>
      </c>
      <c r="K172" s="7">
        <v>0</v>
      </c>
      <c r="L172" s="7">
        <v>0</v>
      </c>
      <c r="N172" s="17" cm="1">
        <f t="array" ref="N172:R174">FN.DEV((COGS), Check!$B$172:$F$174)</f>
        <v>0</v>
      </c>
      <c r="O172" s="17">
        <v>0</v>
      </c>
      <c r="P172" s="17">
        <v>0</v>
      </c>
      <c r="Q172" s="17">
        <v>0</v>
      </c>
      <c r="R172" s="17">
        <v>0</v>
      </c>
      <c r="T172" s="18" cm="1" t="str">
        <f t="array" ref="T172:T174">_xlfn.BYROW(FN.DEV((COGS), Check!$B$172:$F$174), _xlfn.LAMBDA(_xlpm.dev_row, IF(MAX(_xlpm.dev_row) &lt;= CHK.Tol, "PASS", "FAIL")))</f>
        <v/>
      </c>
    </row>
    <row r="173" spans="1:20">
      <c r="A173" s="1" t="s">
        <v>278</v>
      </c>
      <c r="B173" s="7">
        <v>100</v>
      </c>
      <c r="C173" s="7">
        <v>105</v>
      </c>
      <c r="D173" s="7">
        <v>110.25</v>
      </c>
      <c r="E173" s="7">
        <v>115.7625</v>
      </c>
      <c r="F173" s="7">
        <v>121.550625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T173" s="18">
        <v>0</v>
      </c>
    </row>
    <row r="174" spans="1:20">
      <c r="A174" s="1" t="s">
        <v>279</v>
      </c>
      <c r="B174" s="7">
        <v>160</v>
      </c>
      <c r="C174" s="7">
        <v>160</v>
      </c>
      <c r="D174" s="7">
        <v>160</v>
      </c>
      <c r="E174" s="7">
        <v>160</v>
      </c>
      <c r="F174" s="7">
        <v>160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T174" s="18">
        <v>0</v>
      </c>
    </row>
    <row r="177" spans="1:20">
      <c r="A177" s="9" t="s">
        <v>280</v>
      </c>
      <c r="B177" s="1" t="s">
        <v>160</v>
      </c>
      <c r="C177" s="17" cm="1">
        <f t="array" ref="C177">MAX(FN.DEV((Gross), Check!$B$179:$F$181))</f>
        <v>0</v>
      </c>
      <c r="D177" s="18" cm="1" t="str">
        <f t="array" ref="D177">IF(MAX(FN.DEV((Gross), Check!$B$179:$F$181)) &lt;= CHK.Tol, "PASS", "FAIL")</f>
        <v/>
      </c>
    </row>
    <row r="178" spans="1:20">
      <c r="A178" s="9" t="s">
        <v>161</v>
      </c>
      <c r="B178" s="9" t="s">
        <v>162</v>
      </c>
      <c r="C178" s="9" t="s">
        <v>193</v>
      </c>
      <c r="D178" s="9" t="s">
        <v>196</v>
      </c>
      <c r="E178" s="9" t="s">
        <v>199</v>
      </c>
      <c r="F178" s="9" t="s">
        <v>202</v>
      </c>
      <c r="H178" s="9" t="s">
        <v>163</v>
      </c>
      <c r="I178" s="9" t="s">
        <v>194</v>
      </c>
      <c r="J178" s="9" t="s">
        <v>197</v>
      </c>
      <c r="K178" s="9" t="s">
        <v>200</v>
      </c>
      <c r="L178" s="9" t="s">
        <v>203</v>
      </c>
      <c r="N178" s="9" t="s">
        <v>164</v>
      </c>
      <c r="O178" s="9" t="s">
        <v>195</v>
      </c>
      <c r="P178" s="9" t="s">
        <v>198</v>
      </c>
      <c r="Q178" s="9" t="s">
        <v>201</v>
      </c>
      <c r="R178" s="9" t="s">
        <v>204</v>
      </c>
      <c r="T178" s="9" t="s">
        <v>165</v>
      </c>
    </row>
    <row r="179" spans="1:20">
      <c r="A179" s="1" t="s">
        <v>281</v>
      </c>
      <c r="B179" s="7">
        <v>40</v>
      </c>
      <c r="C179" s="7">
        <v>44.00000000000001</v>
      </c>
      <c r="D179" s="7">
        <v>48.40000000000001</v>
      </c>
      <c r="E179" s="7">
        <v>53.24000000000002</v>
      </c>
      <c r="F179" s="7">
        <v>58.56400000000002</v>
      </c>
      <c r="H179" s="7" cm="1">
        <f t="array" ref="H179:L181">(Gross)</f>
        <v>0</v>
      </c>
      <c r="I179" s="7">
        <v>0</v>
      </c>
      <c r="J179" s="7">
        <v>0</v>
      </c>
      <c r="K179" s="7">
        <v>0</v>
      </c>
      <c r="L179" s="7">
        <v>0</v>
      </c>
      <c r="N179" s="17" cm="1">
        <f t="array" ref="N179:R181">FN.DEV((Gross), Check!$B$179:$F$181)</f>
        <v>0</v>
      </c>
      <c r="O179" s="17">
        <v>0</v>
      </c>
      <c r="P179" s="17">
        <v>0</v>
      </c>
      <c r="Q179" s="17">
        <v>0</v>
      </c>
      <c r="R179" s="17">
        <v>0</v>
      </c>
      <c r="T179" s="18" cm="1" t="str">
        <f t="array" ref="T179:T181">_xlfn.BYROW(FN.DEV((Gross), Check!$B$179:$F$181), _xlfn.LAMBDA(_xlpm.dev_row, IF(MAX(_xlpm.dev_row) &lt;= CHK.Tol, "PASS", "FAIL")))</f>
        <v/>
      </c>
    </row>
    <row r="180" spans="1:20">
      <c r="A180" s="1" t="s">
        <v>282</v>
      </c>
      <c r="B180" s="7">
        <v>100</v>
      </c>
      <c r="C180" s="7">
        <v>105</v>
      </c>
      <c r="D180" s="7">
        <v>110.25</v>
      </c>
      <c r="E180" s="7">
        <v>115.7625</v>
      </c>
      <c r="F180" s="7">
        <v>121.550625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T180" s="18">
        <v>0</v>
      </c>
    </row>
    <row r="181" spans="1:20">
      <c r="A181" s="1" t="s">
        <v>283</v>
      </c>
      <c r="B181" s="7">
        <v>240</v>
      </c>
      <c r="C181" s="7">
        <v>240</v>
      </c>
      <c r="D181" s="7">
        <v>240</v>
      </c>
      <c r="E181" s="7">
        <v>240</v>
      </c>
      <c r="F181" s="7">
        <v>240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T181" s="18">
        <v>0</v>
      </c>
    </row>
    <row r="184" spans="1:20">
      <c r="A184" s="9" t="s">
        <v>284</v>
      </c>
      <c r="B184" s="1" t="s">
        <v>160</v>
      </c>
      <c r="C184" s="17" cm="1">
        <f t="array" ref="C184">MAX(FN.DEV((Opex), Check!$B$186:$F$188))</f>
        <v>0</v>
      </c>
      <c r="D184" s="18" cm="1" t="str">
        <f t="array" ref="D184">IF(MAX(FN.DEV((Opex), Check!$B$186:$F$188)) &lt;= CHK.Tol, "PASS", "FAIL")</f>
        <v/>
      </c>
    </row>
    <row r="185" spans="1:20">
      <c r="A185" s="9" t="s">
        <v>161</v>
      </c>
      <c r="B185" s="9" t="s">
        <v>162</v>
      </c>
      <c r="C185" s="9" t="s">
        <v>193</v>
      </c>
      <c r="D185" s="9" t="s">
        <v>196</v>
      </c>
      <c r="E185" s="9" t="s">
        <v>199</v>
      </c>
      <c r="F185" s="9" t="s">
        <v>202</v>
      </c>
      <c r="H185" s="9" t="s">
        <v>163</v>
      </c>
      <c r="I185" s="9" t="s">
        <v>194</v>
      </c>
      <c r="J185" s="9" t="s">
        <v>197</v>
      </c>
      <c r="K185" s="9" t="s">
        <v>200</v>
      </c>
      <c r="L185" s="9" t="s">
        <v>203</v>
      </c>
      <c r="N185" s="9" t="s">
        <v>164</v>
      </c>
      <c r="O185" s="9" t="s">
        <v>195</v>
      </c>
      <c r="P185" s="9" t="s">
        <v>198</v>
      </c>
      <c r="Q185" s="9" t="s">
        <v>201</v>
      </c>
      <c r="R185" s="9" t="s">
        <v>204</v>
      </c>
      <c r="T185" s="9" t="s">
        <v>165</v>
      </c>
    </row>
    <row r="186" spans="1:20">
      <c r="A186" s="1" t="s">
        <v>285</v>
      </c>
      <c r="B186" s="7">
        <v>20</v>
      </c>
      <c r="C186" s="7">
        <v>20</v>
      </c>
      <c r="D186" s="7">
        <v>20</v>
      </c>
      <c r="E186" s="7">
        <v>20</v>
      </c>
      <c r="F186" s="7">
        <v>20</v>
      </c>
      <c r="H186" s="7" cm="1">
        <f t="array" ref="H186:L188">(Opex)</f>
        <v>0</v>
      </c>
      <c r="I186" s="7">
        <v>0</v>
      </c>
      <c r="J186" s="7">
        <v>0</v>
      </c>
      <c r="K186" s="7">
        <v>0</v>
      </c>
      <c r="L186" s="7">
        <v>0</v>
      </c>
      <c r="N186" s="17" cm="1">
        <f t="array" ref="N186:R188">FN.DEV((Opex), Check!$B$186:$F$188)</f>
        <v>0</v>
      </c>
      <c r="O186" s="17">
        <v>0</v>
      </c>
      <c r="P186" s="17">
        <v>0</v>
      </c>
      <c r="Q186" s="17">
        <v>0</v>
      </c>
      <c r="R186" s="17">
        <v>0</v>
      </c>
      <c r="T186" s="18" cm="1" t="str">
        <f t="array" ref="T186:T188">_xlfn.BYROW(FN.DEV((Opex), Check!$B$186:$F$188), _xlfn.LAMBDA(_xlpm.dev_row, IF(MAX(_xlpm.dev_row) &lt;= CHK.Tol, "PASS", "FAIL")))</f>
        <v/>
      </c>
    </row>
    <row r="187" spans="1:20">
      <c r="A187" s="1" t="s">
        <v>286</v>
      </c>
      <c r="B187" s="7">
        <v>30</v>
      </c>
      <c r="C187" s="7">
        <v>30</v>
      </c>
      <c r="D187" s="7">
        <v>30</v>
      </c>
      <c r="E187" s="7">
        <v>30</v>
      </c>
      <c r="F187" s="7">
        <v>30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T187" s="18">
        <v>0</v>
      </c>
    </row>
    <row r="188" spans="1:20">
      <c r="A188" s="1" t="s">
        <v>287</v>
      </c>
      <c r="B188" s="7">
        <v>40</v>
      </c>
      <c r="C188" s="7">
        <v>40</v>
      </c>
      <c r="D188" s="7">
        <v>40</v>
      </c>
      <c r="E188" s="7">
        <v>40</v>
      </c>
      <c r="F188" s="7">
        <v>40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T188" s="18">
        <v>0</v>
      </c>
    </row>
    <row r="191" spans="1:20">
      <c r="A191" s="9" t="s">
        <v>288</v>
      </c>
      <c r="B191" s="1" t="s">
        <v>160</v>
      </c>
      <c r="C191" s="17" cm="1">
        <f t="array" ref="C191">MAX(FN.DEV((EBITDA), Check!$B$193:$F$195))</f>
        <v>0</v>
      </c>
      <c r="D191" s="18" cm="1" t="str">
        <f t="array" ref="D191">IF(MAX(FN.DEV((EBITDA), Check!$B$193:$F$195)) &lt;= CHK.Tol, "PASS", "FAIL")</f>
        <v/>
      </c>
    </row>
    <row r="192" spans="1:20">
      <c r="A192" s="9" t="s">
        <v>161</v>
      </c>
      <c r="B192" s="9" t="s">
        <v>162</v>
      </c>
      <c r="C192" s="9" t="s">
        <v>193</v>
      </c>
      <c r="D192" s="9" t="s">
        <v>196</v>
      </c>
      <c r="E192" s="9" t="s">
        <v>199</v>
      </c>
      <c r="F192" s="9" t="s">
        <v>202</v>
      </c>
      <c r="H192" s="9" t="s">
        <v>163</v>
      </c>
      <c r="I192" s="9" t="s">
        <v>194</v>
      </c>
      <c r="J192" s="9" t="s">
        <v>197</v>
      </c>
      <c r="K192" s="9" t="s">
        <v>200</v>
      </c>
      <c r="L192" s="9" t="s">
        <v>203</v>
      </c>
      <c r="N192" s="9" t="s">
        <v>164</v>
      </c>
      <c r="O192" s="9" t="s">
        <v>195</v>
      </c>
      <c r="P192" s="9" t="s">
        <v>198</v>
      </c>
      <c r="Q192" s="9" t="s">
        <v>201</v>
      </c>
      <c r="R192" s="9" t="s">
        <v>204</v>
      </c>
      <c r="T192" s="9" t="s">
        <v>165</v>
      </c>
    </row>
    <row r="193" spans="1:20">
      <c r="A193" s="1" t="s">
        <v>289</v>
      </c>
      <c r="B193" s="7">
        <v>20</v>
      </c>
      <c r="C193" s="7">
        <v>24.00000000000001</v>
      </c>
      <c r="D193" s="7">
        <v>28.40000000000001</v>
      </c>
      <c r="E193" s="7">
        <v>33.24000000000002</v>
      </c>
      <c r="F193" s="7">
        <v>38.56400000000002</v>
      </c>
      <c r="H193" s="7" cm="1">
        <f t="array" ref="H193:L195">(EBITDA)</f>
        <v>0</v>
      </c>
      <c r="I193" s="7">
        <v>0</v>
      </c>
      <c r="J193" s="7">
        <v>0</v>
      </c>
      <c r="K193" s="7">
        <v>0</v>
      </c>
      <c r="L193" s="7">
        <v>0</v>
      </c>
      <c r="N193" s="17" cm="1">
        <f t="array" ref="N193:R195">FN.DEV((EBITDA), Check!$B$193:$F$195)</f>
        <v>0</v>
      </c>
      <c r="O193" s="17">
        <v>0</v>
      </c>
      <c r="P193" s="17">
        <v>0</v>
      </c>
      <c r="Q193" s="17">
        <v>0</v>
      </c>
      <c r="R193" s="17">
        <v>0</v>
      </c>
      <c r="T193" s="18" cm="1" t="str">
        <f t="array" ref="T193:T195">_xlfn.BYROW(FN.DEV((EBITDA), Check!$B$193:$F$195), _xlfn.LAMBDA(_xlpm.dev_row, IF(MAX(_xlpm.dev_row) &lt;= CHK.Tol, "PASS", "FAIL")))</f>
        <v/>
      </c>
    </row>
    <row r="194" spans="1:20">
      <c r="A194" s="1" t="s">
        <v>290</v>
      </c>
      <c r="B194" s="7">
        <v>70</v>
      </c>
      <c r="C194" s="7">
        <v>75</v>
      </c>
      <c r="D194" s="7">
        <v>80.25</v>
      </c>
      <c r="E194" s="7">
        <v>85.76250000000002</v>
      </c>
      <c r="F194" s="7">
        <v>91.55062500000003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T194" s="18">
        <v>0</v>
      </c>
    </row>
    <row r="195" spans="1:20">
      <c r="A195" s="1" t="s">
        <v>291</v>
      </c>
      <c r="B195" s="7">
        <v>200</v>
      </c>
      <c r="C195" s="7">
        <v>200</v>
      </c>
      <c r="D195" s="7">
        <v>200</v>
      </c>
      <c r="E195" s="7">
        <v>200</v>
      </c>
      <c r="F195" s="7">
        <v>200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T195" s="18">
        <v>0</v>
      </c>
    </row>
    <row r="198" spans="1:20">
      <c r="A198" s="9" t="s">
        <v>292</v>
      </c>
      <c r="B198" s="1" t="s">
        <v>160</v>
      </c>
      <c r="C198" s="17" cm="1">
        <f t="array" ref="C198">MAX(FN.DEV((_xlfn.ANCHORARRAY('2 Spill'!C30)), Check!$B$200:$F$200))</f>
        <v>0</v>
      </c>
      <c r="D198" s="18" cm="1" t="str">
        <f t="array" ref="D198">IF(MAX(FN.DEV((_xlfn.ANCHORARRAY('2 Spill'!C30)), Check!$B$200:$F$200)) &lt;= CHK.Tol, "PASS", "FAIL")</f>
        <v/>
      </c>
    </row>
    <row r="199" spans="1:20">
      <c r="A199" s="9" t="s">
        <v>161</v>
      </c>
      <c r="B199" s="9" t="s">
        <v>162</v>
      </c>
      <c r="C199" s="9" t="s">
        <v>193</v>
      </c>
      <c r="D199" s="9" t="s">
        <v>196</v>
      </c>
      <c r="E199" s="9" t="s">
        <v>199</v>
      </c>
      <c r="F199" s="9" t="s">
        <v>202</v>
      </c>
      <c r="H199" s="9" t="s">
        <v>163</v>
      </c>
      <c r="I199" s="9" t="s">
        <v>194</v>
      </c>
      <c r="J199" s="9" t="s">
        <v>197</v>
      </c>
      <c r="K199" s="9" t="s">
        <v>200</v>
      </c>
      <c r="L199" s="9" t="s">
        <v>203</v>
      </c>
      <c r="N199" s="9" t="s">
        <v>164</v>
      </c>
      <c r="O199" s="9" t="s">
        <v>195</v>
      </c>
      <c r="P199" s="9" t="s">
        <v>198</v>
      </c>
      <c r="Q199" s="9" t="s">
        <v>201</v>
      </c>
      <c r="R199" s="9" t="s">
        <v>204</v>
      </c>
      <c r="T199" s="9" t="s">
        <v>165</v>
      </c>
    </row>
    <row r="200" spans="1:20">
      <c r="A200" s="1" t="s">
        <v>293</v>
      </c>
      <c r="B200" s="7">
        <v>700</v>
      </c>
      <c r="C200" s="7">
        <v>720</v>
      </c>
      <c r="D200" s="7">
        <v>741.5</v>
      </c>
      <c r="E200" s="7">
        <v>764.6250000000001</v>
      </c>
      <c r="F200" s="7">
        <v>789.5112500000001</v>
      </c>
      <c r="H200" s="7" cm="1">
        <f t="array" ref="H200:L200">(_xlfn.ANCHORARRAY('2 Spill'!C30))</f>
        <v>0</v>
      </c>
      <c r="I200" s="7">
        <v>0</v>
      </c>
      <c r="J200" s="7">
        <v>0</v>
      </c>
      <c r="K200" s="7">
        <v>0</v>
      </c>
      <c r="L200" s="7">
        <v>0</v>
      </c>
      <c r="N200" s="17" cm="1">
        <f t="array" ref="N200:R200">FN.DEV((_xlfn.ANCHORARRAY('2 Spill'!C30)), Check!$B$200:$F$200)</f>
        <v>0</v>
      </c>
      <c r="O200" s="17">
        <v>0</v>
      </c>
      <c r="P200" s="17">
        <v>0</v>
      </c>
      <c r="Q200" s="17">
        <v>0</v>
      </c>
      <c r="R200" s="17">
        <v>0</v>
      </c>
      <c r="T200" s="18" cm="1" t="str">
        <f t="array" ref="T200">_xlfn.BYROW(FN.DEV((_xlfn.ANCHORARRAY('2 Spill'!C30)), Check!$B$200:$F$200), _xlfn.LAMBDA(_xlpm.dev_row, IF(MAX(_xlpm.dev_row) &lt;= CHK.Tol, "PASS", "FAIL")))</f>
        <v/>
      </c>
    </row>
    <row r="203" spans="1:20">
      <c r="A203" s="9" t="s">
        <v>294</v>
      </c>
      <c r="B203" s="1" t="s">
        <v>160</v>
      </c>
      <c r="C203" s="17" cm="1">
        <f t="array" ref="C203">MAX(FN.DEV((_xlfn.ANCHORARRAY('3 LAMBDA'!C5)), Check!$B$205:$F$207))</f>
        <v>0</v>
      </c>
      <c r="D203" s="18" cm="1" t="str">
        <f t="array" ref="D203">IF(MAX(FN.DEV((_xlfn.ANCHORARRAY('3 LAMBDA'!C5)), Check!$B$205:$F$207)) &lt;= CHK.Tol, "PASS", "FAIL")</f>
        <v/>
      </c>
    </row>
    <row r="204" spans="1:20">
      <c r="A204" s="9" t="s">
        <v>161</v>
      </c>
      <c r="B204" s="9" t="s">
        <v>162</v>
      </c>
      <c r="C204" s="9" t="s">
        <v>193</v>
      </c>
      <c r="D204" s="9" t="s">
        <v>196</v>
      </c>
      <c r="E204" s="9" t="s">
        <v>199</v>
      </c>
      <c r="F204" s="9" t="s">
        <v>202</v>
      </c>
      <c r="H204" s="9" t="s">
        <v>163</v>
      </c>
      <c r="I204" s="9" t="s">
        <v>194</v>
      </c>
      <c r="J204" s="9" t="s">
        <v>197</v>
      </c>
      <c r="K204" s="9" t="s">
        <v>200</v>
      </c>
      <c r="L204" s="9" t="s">
        <v>203</v>
      </c>
      <c r="N204" s="9" t="s">
        <v>164</v>
      </c>
      <c r="O204" s="9" t="s">
        <v>195</v>
      </c>
      <c r="P204" s="9" t="s">
        <v>198</v>
      </c>
      <c r="Q204" s="9" t="s">
        <v>201</v>
      </c>
      <c r="R204" s="9" t="s">
        <v>204</v>
      </c>
      <c r="T204" s="9" t="s">
        <v>165</v>
      </c>
    </row>
    <row r="205" spans="1:20">
      <c r="A205" s="1" t="s">
        <v>295</v>
      </c>
      <c r="B205" s="7">
        <v>100</v>
      </c>
      <c r="C205" s="7">
        <v>110</v>
      </c>
      <c r="D205" s="7">
        <v>121</v>
      </c>
      <c r="E205" s="7">
        <v>133.1000000000001</v>
      </c>
      <c r="F205" s="7">
        <v>146.4100000000001</v>
      </c>
      <c r="H205" s="7" cm="1">
        <f t="array" ref="H205:L207">(_xlfn.ANCHORARRAY('3 LAMBDA'!C5))</f>
        <v>0</v>
      </c>
      <c r="I205" s="7">
        <v>0</v>
      </c>
      <c r="J205" s="7">
        <v>0</v>
      </c>
      <c r="K205" s="7">
        <v>0</v>
      </c>
      <c r="L205" s="7">
        <v>0</v>
      </c>
      <c r="N205" s="17" cm="1">
        <f t="array" ref="N205:R207">FN.DEV((_xlfn.ANCHORARRAY('3 LAMBDA'!C5)), Check!$B$205:$F$207)</f>
        <v>0</v>
      </c>
      <c r="O205" s="17">
        <v>0</v>
      </c>
      <c r="P205" s="17">
        <v>0</v>
      </c>
      <c r="Q205" s="17">
        <v>0</v>
      </c>
      <c r="R205" s="17">
        <v>0</v>
      </c>
      <c r="T205" s="18" cm="1" t="str">
        <f t="array" ref="T205:T207">_xlfn.BYROW(FN.DEV((_xlfn.ANCHORARRAY('3 LAMBDA'!C5)), Check!$B$205:$F$207), _xlfn.LAMBDA(_xlpm.dev_row, IF(MAX(_xlpm.dev_row) &lt;= CHK.Tol, "PASS", "FAIL")))</f>
        <v/>
      </c>
    </row>
    <row r="206" spans="1:20">
      <c r="A206" s="1" t="s">
        <v>296</v>
      </c>
      <c r="B206" s="7">
        <v>200</v>
      </c>
      <c r="C206" s="7">
        <v>210</v>
      </c>
      <c r="D206" s="7">
        <v>220.5</v>
      </c>
      <c r="E206" s="7">
        <v>231.525</v>
      </c>
      <c r="F206" s="7">
        <v>243.1012500000001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N206" s="17">
        <v>0</v>
      </c>
      <c r="O206" s="17">
        <v>0</v>
      </c>
      <c r="P206" s="17">
        <v>0</v>
      </c>
      <c r="Q206" s="17">
        <v>0</v>
      </c>
      <c r="R206" s="17">
        <v>0</v>
      </c>
      <c r="T206" s="18">
        <v>0</v>
      </c>
    </row>
    <row r="207" spans="1:20">
      <c r="A207" s="1" t="s">
        <v>297</v>
      </c>
      <c r="B207" s="7">
        <v>400</v>
      </c>
      <c r="C207" s="7">
        <v>400</v>
      </c>
      <c r="D207" s="7">
        <v>400</v>
      </c>
      <c r="E207" s="7">
        <v>400</v>
      </c>
      <c r="F207" s="7">
        <v>400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N207" s="17">
        <v>0</v>
      </c>
      <c r="O207" s="17">
        <v>0</v>
      </c>
      <c r="P207" s="17">
        <v>0</v>
      </c>
      <c r="Q207" s="17">
        <v>0</v>
      </c>
      <c r="R207" s="17">
        <v>0</v>
      </c>
      <c r="T207" s="18">
        <v>0</v>
      </c>
    </row>
    <row r="210" spans="1:20">
      <c r="A210" s="9" t="s">
        <v>298</v>
      </c>
      <c r="B210" s="1" t="s">
        <v>160</v>
      </c>
      <c r="C210" s="17" cm="1">
        <f t="array" ref="C210">MAX(FN.DEV((_xlfn.ANCHORARRAY('3 LAMBDA'!C9)), Check!$B$212:$F$212))</f>
        <v>0</v>
      </c>
      <c r="D210" s="18" cm="1" t="str">
        <f t="array" ref="D210">IF(MAX(FN.DEV((_xlfn.ANCHORARRAY('3 LAMBDA'!C9)), Check!$B$212:$F$212)) &lt;= CHK.Tol, "PASS", "FAIL")</f>
        <v/>
      </c>
    </row>
    <row r="211" spans="1:20">
      <c r="A211" s="9" t="s">
        <v>161</v>
      </c>
      <c r="B211" s="9" t="s">
        <v>162</v>
      </c>
      <c r="C211" s="9" t="s">
        <v>193</v>
      </c>
      <c r="D211" s="9" t="s">
        <v>196</v>
      </c>
      <c r="E211" s="9" t="s">
        <v>199</v>
      </c>
      <c r="F211" s="9" t="s">
        <v>202</v>
      </c>
      <c r="H211" s="9" t="s">
        <v>163</v>
      </c>
      <c r="I211" s="9" t="s">
        <v>194</v>
      </c>
      <c r="J211" s="9" t="s">
        <v>197</v>
      </c>
      <c r="K211" s="9" t="s">
        <v>200</v>
      </c>
      <c r="L211" s="9" t="s">
        <v>203</v>
      </c>
      <c r="N211" s="9" t="s">
        <v>164</v>
      </c>
      <c r="O211" s="9" t="s">
        <v>195</v>
      </c>
      <c r="P211" s="9" t="s">
        <v>198</v>
      </c>
      <c r="Q211" s="9" t="s">
        <v>201</v>
      </c>
      <c r="R211" s="9" t="s">
        <v>204</v>
      </c>
      <c r="T211" s="9" t="s">
        <v>165</v>
      </c>
    </row>
    <row r="212" spans="1:20">
      <c r="A212" s="1" t="s">
        <v>299</v>
      </c>
      <c r="B212" s="7">
        <v>100</v>
      </c>
      <c r="C212" s="7">
        <v>110</v>
      </c>
      <c r="D212" s="7">
        <v>121</v>
      </c>
      <c r="E212" s="7">
        <v>133.1000000000001</v>
      </c>
      <c r="F212" s="7">
        <v>146.4100000000001</v>
      </c>
      <c r="H212" s="7" cm="1">
        <f t="array" ref="H212:L212">(_xlfn.ANCHORARRAY('3 LAMBDA'!C9))</f>
        <v>0</v>
      </c>
      <c r="I212" s="7">
        <v>0</v>
      </c>
      <c r="J212" s="7">
        <v>0</v>
      </c>
      <c r="K212" s="7">
        <v>0</v>
      </c>
      <c r="L212" s="7">
        <v>0</v>
      </c>
      <c r="N212" s="17" cm="1">
        <f t="array" ref="N212:R212">FN.DEV((_xlfn.ANCHORARRAY('3 LAMBDA'!C9)), Check!$B$212:$F$212)</f>
        <v>0</v>
      </c>
      <c r="O212" s="17">
        <v>0</v>
      </c>
      <c r="P212" s="17">
        <v>0</v>
      </c>
      <c r="Q212" s="17">
        <v>0</v>
      </c>
      <c r="R212" s="17">
        <v>0</v>
      </c>
      <c r="T212" s="18" cm="1" t="str">
        <f t="array" ref="T212">_xlfn.BYROW(FN.DEV((_xlfn.ANCHORARRAY('3 LAMBDA'!C9)), Check!$B$212:$F$212), _xlfn.LAMBDA(_xlpm.dev_row, IF(MAX(_xlpm.dev_row) &lt;= CHK.Tol, "PASS", "FAIL")))</f>
        <v/>
      </c>
    </row>
    <row r="215" spans="1:20">
      <c r="A215" s="9" t="s">
        <v>300</v>
      </c>
      <c r="B215" s="1" t="s">
        <v>160</v>
      </c>
      <c r="C215" s="17" cm="1">
        <f t="array" ref="C215">MAX(FN.DEV((ClosingDebt), Check!$B$217:$F$217))</f>
        <v>0</v>
      </c>
      <c r="D215" s="18" cm="1" t="str">
        <f t="array" ref="D215">IF(MAX(FN.DEV((ClosingDebt), Check!$B$217:$F$217)) &lt;= CHK.Tol, "PASS", "FAIL")</f>
        <v/>
      </c>
    </row>
    <row r="216" spans="1:20">
      <c r="A216" s="9" t="s">
        <v>161</v>
      </c>
      <c r="B216" s="9" t="s">
        <v>162</v>
      </c>
      <c r="C216" s="9" t="s">
        <v>193</v>
      </c>
      <c r="D216" s="9" t="s">
        <v>196</v>
      </c>
      <c r="E216" s="9" t="s">
        <v>199</v>
      </c>
      <c r="F216" s="9" t="s">
        <v>202</v>
      </c>
      <c r="H216" s="9" t="s">
        <v>163</v>
      </c>
      <c r="I216" s="9" t="s">
        <v>194</v>
      </c>
      <c r="J216" s="9" t="s">
        <v>197</v>
      </c>
      <c r="K216" s="9" t="s">
        <v>200</v>
      </c>
      <c r="L216" s="9" t="s">
        <v>203</v>
      </c>
      <c r="N216" s="9" t="s">
        <v>164</v>
      </c>
      <c r="O216" s="9" t="s">
        <v>195</v>
      </c>
      <c r="P216" s="9" t="s">
        <v>198</v>
      </c>
      <c r="Q216" s="9" t="s">
        <v>201</v>
      </c>
      <c r="R216" s="9" t="s">
        <v>204</v>
      </c>
      <c r="T216" s="9" t="s">
        <v>165</v>
      </c>
    </row>
    <row r="217" spans="1:20">
      <c r="A217" s="1" t="s">
        <v>301</v>
      </c>
      <c r="B217" s="7">
        <v>450</v>
      </c>
      <c r="C217" s="7">
        <v>375</v>
      </c>
      <c r="D217" s="7">
        <v>275</v>
      </c>
      <c r="E217" s="7">
        <v>150</v>
      </c>
      <c r="F217" s="7">
        <v>0</v>
      </c>
      <c r="H217" s="7" cm="1">
        <f t="array" ref="H217:L217">(ClosingDebt)</f>
        <v>0</v>
      </c>
      <c r="I217" s="7">
        <v>0</v>
      </c>
      <c r="J217" s="7">
        <v>0</v>
      </c>
      <c r="K217" s="7">
        <v>0</v>
      </c>
      <c r="L217" s="7">
        <v>0</v>
      </c>
      <c r="N217" s="17" cm="1">
        <f t="array" ref="N217:R217">FN.DEV((ClosingDebt), Check!$B$217:$F$217)</f>
        <v>0</v>
      </c>
      <c r="O217" s="17">
        <v>0</v>
      </c>
      <c r="P217" s="17">
        <v>0</v>
      </c>
      <c r="Q217" s="17">
        <v>0</v>
      </c>
      <c r="R217" s="17">
        <v>0</v>
      </c>
      <c r="T217" s="18" cm="1" t="str">
        <f t="array" ref="T217">_xlfn.BYROW(FN.DEV((ClosingDebt), Check!$B$217:$F$217), _xlfn.LAMBDA(_xlpm.dev_row, IF(MAX(_xlpm.dev_row) &lt;= CHK.Tol, "PASS", "FAIL")))</f>
        <v/>
      </c>
    </row>
    <row r="220" spans="1:20">
      <c r="A220" s="9" t="s">
        <v>302</v>
      </c>
      <c r="B220" s="1" t="s">
        <v>160</v>
      </c>
      <c r="C220" s="17" cm="1">
        <f t="array" ref="C220">MAX(FN.DEV((DebtOpening), Check!$B$222:$F$222))</f>
        <v>0</v>
      </c>
      <c r="D220" s="18" cm="1" t="str">
        <f t="array" ref="D220">IF(MAX(FN.DEV((DebtOpening), Check!$B$222:$F$222)) &lt;= CHK.Tol, "PASS", "FAIL")</f>
        <v/>
      </c>
    </row>
    <row r="221" spans="1:20">
      <c r="A221" s="9" t="s">
        <v>161</v>
      </c>
      <c r="B221" s="9" t="s">
        <v>162</v>
      </c>
      <c r="C221" s="9" t="s">
        <v>193</v>
      </c>
      <c r="D221" s="9" t="s">
        <v>196</v>
      </c>
      <c r="E221" s="9" t="s">
        <v>199</v>
      </c>
      <c r="F221" s="9" t="s">
        <v>202</v>
      </c>
      <c r="H221" s="9" t="s">
        <v>163</v>
      </c>
      <c r="I221" s="9" t="s">
        <v>194</v>
      </c>
      <c r="J221" s="9" t="s">
        <v>197</v>
      </c>
      <c r="K221" s="9" t="s">
        <v>200</v>
      </c>
      <c r="L221" s="9" t="s">
        <v>203</v>
      </c>
      <c r="N221" s="9" t="s">
        <v>164</v>
      </c>
      <c r="O221" s="9" t="s">
        <v>195</v>
      </c>
      <c r="P221" s="9" t="s">
        <v>198</v>
      </c>
      <c r="Q221" s="9" t="s">
        <v>201</v>
      </c>
      <c r="R221" s="9" t="s">
        <v>204</v>
      </c>
      <c r="T221" s="9" t="s">
        <v>165</v>
      </c>
    </row>
    <row r="222" spans="1:20">
      <c r="A222" s="1" t="s">
        <v>303</v>
      </c>
      <c r="B222" s="7">
        <v>500</v>
      </c>
      <c r="C222" s="7">
        <v>450</v>
      </c>
      <c r="D222" s="7">
        <v>375</v>
      </c>
      <c r="E222" s="7">
        <v>275</v>
      </c>
      <c r="F222" s="7">
        <v>150</v>
      </c>
      <c r="H222" s="7" cm="1">
        <f t="array" ref="H222:L222">(DebtOpening)</f>
        <v>0</v>
      </c>
      <c r="I222" s="7">
        <v>0</v>
      </c>
      <c r="J222" s="7">
        <v>0</v>
      </c>
      <c r="K222" s="7">
        <v>0</v>
      </c>
      <c r="L222" s="7">
        <v>0</v>
      </c>
      <c r="N222" s="17" cm="1">
        <f t="array" ref="N222:R222">FN.DEV((DebtOpening), Check!$B$222:$F$222)</f>
        <v>0</v>
      </c>
      <c r="O222" s="17">
        <v>0</v>
      </c>
      <c r="P222" s="17">
        <v>0</v>
      </c>
      <c r="Q222" s="17">
        <v>0</v>
      </c>
      <c r="R222" s="17">
        <v>0</v>
      </c>
      <c r="T222" s="18" cm="1" t="str">
        <f t="array" ref="T222">_xlfn.BYROW(FN.DEV((DebtOpening), Check!$B$222:$F$222), _xlfn.LAMBDA(_xlpm.dev_row, IF(MAX(_xlpm.dev_row) &lt;= CHK.Tol, "PASS", "FAIL")))</f>
        <v/>
      </c>
    </row>
    <row r="225" spans="1:20">
      <c r="A225" s="9" t="s">
        <v>304</v>
      </c>
      <c r="B225" s="1" t="s">
        <v>160</v>
      </c>
      <c r="C225" s="17" cm="1">
        <f t="array" ref="C225">MAX(FN.DEV((IF(OR(ISERROR('4 Recurrence'!C16)), ERROR.TYPE('4 Recurrence'!C16), Check!$B$227:$B$227)), Check!$B$227:$B$227))</f>
        <v>0</v>
      </c>
      <c r="D225" s="18" cm="1" t="str">
        <f t="array" ref="D225">IF(MAX(FN.DEV((IF(OR(ISERROR('4 Recurrence'!C16)), ERROR.TYPE('4 Recurrence'!C16), Check!$B$227:$B$227)), Check!$B$227:$B$227)) &lt;= CHK.Tol, "PASS", "FAIL")</f>
        <v/>
      </c>
    </row>
    <row r="226" spans="1:20">
      <c r="A226" s="9" t="s">
        <v>161</v>
      </c>
      <c r="B226" s="9" t="s">
        <v>162</v>
      </c>
      <c r="D226" s="9" t="s">
        <v>163</v>
      </c>
      <c r="F226" s="9" t="s">
        <v>164</v>
      </c>
      <c r="H226" s="9" t="s">
        <v>165</v>
      </c>
    </row>
    <row r="227" spans="1:20">
      <c r="A227" s="1" t="s">
        <v>305</v>
      </c>
      <c r="B227" s="7">
        <v>14</v>
      </c>
      <c r="D227" s="7" cm="1">
        <f t="array" ref="D227">(IF(OR(ISERROR('4 Recurrence'!C16)), ERROR.TYPE('4 Recurrence'!C16), Check!$B$227:$B$227))</f>
        <v>0</v>
      </c>
      <c r="F227" s="17" cm="1">
        <f t="array" ref="F227">FN.DEV((IF(OR(ISERROR('4 Recurrence'!C16)), ERROR.TYPE('4 Recurrence'!C16), Check!$B$227:$B$227)), Check!$B$227:$B$227)</f>
        <v>0</v>
      </c>
      <c r="H227" s="18" cm="1" t="str">
        <f t="array" ref="H227">_xlfn.BYROW(FN.DEV((IF(OR(ISERROR('4 Recurrence'!C16)), ERROR.TYPE('4 Recurrence'!C16), Check!$B$227:$B$227)), Check!$B$227:$B$227), _xlfn.LAMBDA(_xlpm.dev_row, IF(MAX(_xlpm.dev_row) &lt;= CHK.Tol, "PASS", "FAIL")))</f>
        <v/>
      </c>
    </row>
    <row r="230" spans="1:20">
      <c r="A230" s="9" t="s">
        <v>306</v>
      </c>
      <c r="B230" s="1" t="s">
        <v>160</v>
      </c>
      <c r="C230" s="17" cm="1">
        <f t="array" ref="C230">MAX(FN.DEV((IF(OR(ISERROR('4 Recurrence'!C16)), Check!$B$232:$D$232, _xlfn.MAP(_xlfn.ANCHORARRAY('4 Recurrence'!C16), _xlfn.LAMBDA(_xlpm.nested, SUM(_xlpm.nested))))), Check!$B$232:$D$232))</f>
        <v>0</v>
      </c>
      <c r="D230" s="18" cm="1" t="str">
        <f t="array" ref="D230">IF(MAX(FN.DEV((IF(OR(ISERROR('4 Recurrence'!C16)), Check!$B$232:$D$232, _xlfn.MAP(_xlfn.ANCHORARRAY('4 Recurrence'!C16), _xlfn.LAMBDA(_xlpm.nested, SUM(_xlpm.nested))))), Check!$B$232:$D$232)) &lt;= CHK.Tol, "PASS", "FAIL")</f>
        <v/>
      </c>
    </row>
    <row r="231" spans="1:20">
      <c r="A231" s="9" t="s">
        <v>161</v>
      </c>
      <c r="B231" s="9" t="s">
        <v>162</v>
      </c>
      <c r="C231" s="9" t="s">
        <v>193</v>
      </c>
      <c r="D231" s="9" t="s">
        <v>196</v>
      </c>
      <c r="F231" s="9" t="s">
        <v>163</v>
      </c>
      <c r="G231" s="9" t="s">
        <v>194</v>
      </c>
      <c r="H231" s="9" t="s">
        <v>197</v>
      </c>
      <c r="J231" s="9" t="s">
        <v>164</v>
      </c>
      <c r="K231" s="9" t="s">
        <v>195</v>
      </c>
      <c r="L231" s="9" t="s">
        <v>198</v>
      </c>
      <c r="N231" s="9" t="s">
        <v>165</v>
      </c>
    </row>
    <row r="232" spans="1:20">
      <c r="A232" s="1" t="s">
        <v>307</v>
      </c>
      <c r="B232" s="7">
        <v>3</v>
      </c>
      <c r="C232" s="7">
        <v>6</v>
      </c>
      <c r="D232" s="7">
        <v>10</v>
      </c>
      <c r="F232" s="7" cm="1">
        <f t="array" ref="F232:H232">(IF(OR(ISERROR('4 Recurrence'!C16)), Check!$B$232:$D$232, _xlfn.MAP(_xlfn.ANCHORARRAY('4 Recurrence'!C16), _xlfn.LAMBDA(_xlpm.nested, SUM(_xlpm.nested)))))</f>
        <v>0</v>
      </c>
      <c r="G232" s="7">
        <v>0</v>
      </c>
      <c r="H232" s="7">
        <v>0</v>
      </c>
      <c r="J232" s="17" cm="1">
        <f t="array" ref="J232:L232">FN.DEV((IF(OR(ISERROR('4 Recurrence'!C16)), Check!$B$232:$D$232, _xlfn.MAP(_xlfn.ANCHORARRAY('4 Recurrence'!C16), _xlfn.LAMBDA(_xlpm.nested, SUM(_xlpm.nested))))), Check!$B$232:$D$232)</f>
        <v>0</v>
      </c>
      <c r="K232" s="17">
        <v>0</v>
      </c>
      <c r="L232" s="17">
        <v>0</v>
      </c>
      <c r="N232" s="18" cm="1" t="str">
        <f t="array" ref="N232">_xlfn.BYROW(FN.DEV((IF(OR(ISERROR('4 Recurrence'!C16)), Check!$B$232:$D$232, _xlfn.MAP(_xlfn.ANCHORARRAY('4 Recurrence'!C16), _xlfn.LAMBDA(_xlpm.nested, SUM(_xlpm.nested))))), Check!$B$232:$D$232), _xlfn.LAMBDA(_xlpm.dev_row, IF(MAX(_xlpm.dev_row) &lt;= CHK.Tol, "PASS", "FAIL")))</f>
        <v/>
      </c>
    </row>
    <row r="235" spans="1:20">
      <c r="A235" s="9" t="s">
        <v>308</v>
      </c>
      <c r="B235" s="1" t="s">
        <v>160</v>
      </c>
      <c r="C235" s="17" cm="1">
        <f t="array" ref="C235">MAX(FN.DEV((ClosingCash), Check!$B$237:$F$237))</f>
        <v>0</v>
      </c>
      <c r="D235" s="18" cm="1" t="str">
        <f t="array" ref="D235">IF(MAX(FN.DEV((ClosingCash), Check!$B$237:$F$237)) &lt;= CHK.Tol, "PASS", "FAIL")</f>
        <v/>
      </c>
    </row>
    <row r="236" spans="1:20">
      <c r="A236" s="9" t="s">
        <v>161</v>
      </c>
      <c r="B236" s="9" t="s">
        <v>162</v>
      </c>
      <c r="C236" s="9" t="s">
        <v>193</v>
      </c>
      <c r="D236" s="9" t="s">
        <v>196</v>
      </c>
      <c r="E236" s="9" t="s">
        <v>199</v>
      </c>
      <c r="F236" s="9" t="s">
        <v>202</v>
      </c>
      <c r="H236" s="9" t="s">
        <v>163</v>
      </c>
      <c r="I236" s="9" t="s">
        <v>194</v>
      </c>
      <c r="J236" s="9" t="s">
        <v>197</v>
      </c>
      <c r="K236" s="9" t="s">
        <v>200</v>
      </c>
      <c r="L236" s="9" t="s">
        <v>203</v>
      </c>
      <c r="N236" s="9" t="s">
        <v>164</v>
      </c>
      <c r="O236" s="9" t="s">
        <v>195</v>
      </c>
      <c r="P236" s="9" t="s">
        <v>198</v>
      </c>
      <c r="Q236" s="9" t="s">
        <v>201</v>
      </c>
      <c r="R236" s="9" t="s">
        <v>204</v>
      </c>
      <c r="T236" s="9" t="s">
        <v>165</v>
      </c>
    </row>
    <row r="237" spans="1:20">
      <c r="A237" s="1" t="s">
        <v>309</v>
      </c>
      <c r="B237" s="7">
        <v>215.7894736842105</v>
      </c>
      <c r="C237" s="7">
        <v>343.7673130193907</v>
      </c>
      <c r="D237" s="7">
        <v>485.2165038635371</v>
      </c>
      <c r="E237" s="7">
        <v>641.5550832175936</v>
      </c>
      <c r="F237" s="7">
        <v>814.3503551352352</v>
      </c>
      <c r="H237" s="7" cm="1">
        <f t="array" ref="H237:L237">(ClosingCash)</f>
        <v>0</v>
      </c>
      <c r="I237" s="7">
        <v>0</v>
      </c>
      <c r="J237" s="7">
        <v>0</v>
      </c>
      <c r="K237" s="7">
        <v>0</v>
      </c>
      <c r="L237" s="7">
        <v>0</v>
      </c>
      <c r="N237" s="17" cm="1">
        <f t="array" ref="N237:R237">FN.DEV((ClosingCash), Check!$B$237:$F$237)</f>
        <v>0</v>
      </c>
      <c r="O237" s="17">
        <v>0</v>
      </c>
      <c r="P237" s="17">
        <v>0</v>
      </c>
      <c r="Q237" s="17">
        <v>0</v>
      </c>
      <c r="R237" s="17">
        <v>0</v>
      </c>
      <c r="T237" s="18" cm="1" t="str">
        <f t="array" ref="T237">_xlfn.BYROW(FN.DEV((ClosingCash), Check!$B$237:$F$237), _xlfn.LAMBDA(_xlpm.dev_row, IF(MAX(_xlpm.dev_row) &lt;= CHK.Tol, "PASS", "FAIL")))</f>
        <v/>
      </c>
    </row>
    <row r="240" spans="1:20">
      <c r="A240" s="9" t="s">
        <v>310</v>
      </c>
      <c r="B240" s="1" t="s">
        <v>160</v>
      </c>
      <c r="C240" s="17" cm="1">
        <f t="array" ref="C240">MAX(FN.DEV((CashOpening), Check!$B$242:$F$242))</f>
        <v>0</v>
      </c>
      <c r="D240" s="18" cm="1" t="str">
        <f t="array" ref="D240">IF(MAX(FN.DEV((CashOpening), Check!$B$242:$F$242)) &lt;= CHK.Tol, "PASS", "FAIL")</f>
        <v/>
      </c>
    </row>
    <row r="241" spans="1:20">
      <c r="A241" s="9" t="s">
        <v>161</v>
      </c>
      <c r="B241" s="9" t="s">
        <v>162</v>
      </c>
      <c r="C241" s="9" t="s">
        <v>193</v>
      </c>
      <c r="D241" s="9" t="s">
        <v>196</v>
      </c>
      <c r="E241" s="9" t="s">
        <v>199</v>
      </c>
      <c r="F241" s="9" t="s">
        <v>202</v>
      </c>
      <c r="H241" s="9" t="s">
        <v>163</v>
      </c>
      <c r="I241" s="9" t="s">
        <v>194</v>
      </c>
      <c r="J241" s="9" t="s">
        <v>197</v>
      </c>
      <c r="K241" s="9" t="s">
        <v>200</v>
      </c>
      <c r="L241" s="9" t="s">
        <v>203</v>
      </c>
      <c r="N241" s="9" t="s">
        <v>164</v>
      </c>
      <c r="O241" s="9" t="s">
        <v>195</v>
      </c>
      <c r="P241" s="9" t="s">
        <v>198</v>
      </c>
      <c r="Q241" s="9" t="s">
        <v>201</v>
      </c>
      <c r="R241" s="9" t="s">
        <v>204</v>
      </c>
      <c r="T241" s="9" t="s">
        <v>165</v>
      </c>
    </row>
    <row r="242" spans="1:20">
      <c r="A242" s="1" t="s">
        <v>311</v>
      </c>
      <c r="B242" s="7">
        <v>100</v>
      </c>
      <c r="C242" s="7">
        <v>215.7894736842105</v>
      </c>
      <c r="D242" s="7">
        <v>343.7673130193907</v>
      </c>
      <c r="E242" s="7">
        <v>485.2165038635371</v>
      </c>
      <c r="F242" s="7">
        <v>641.5550832175936</v>
      </c>
      <c r="H242" s="7" cm="1">
        <f t="array" ref="H242:L242">(CashOpening)</f>
        <v>0</v>
      </c>
      <c r="I242" s="7">
        <v>0</v>
      </c>
      <c r="J242" s="7">
        <v>0</v>
      </c>
      <c r="K242" s="7">
        <v>0</v>
      </c>
      <c r="L242" s="7">
        <v>0</v>
      </c>
      <c r="N242" s="17" cm="1">
        <f t="array" ref="N242:R242">FN.DEV((CashOpening), Check!$B$242:$F$242)</f>
        <v>0</v>
      </c>
      <c r="O242" s="17">
        <v>0</v>
      </c>
      <c r="P242" s="17">
        <v>0</v>
      </c>
      <c r="Q242" s="17">
        <v>0</v>
      </c>
      <c r="R242" s="17">
        <v>0</v>
      </c>
      <c r="T242" s="18" cm="1" t="str">
        <f t="array" ref="T242">_xlfn.BYROW(FN.DEV((CashOpening), Check!$B$242:$F$242), _xlfn.LAMBDA(_xlpm.dev_row, IF(MAX(_xlpm.dev_row) &lt;= CHK.Tol, "PASS", "FAIL")))</f>
        <v/>
      </c>
    </row>
    <row r="245" spans="1:20">
      <c r="A245" s="9" t="s">
        <v>312</v>
      </c>
      <c r="B245" s="1" t="s">
        <v>160</v>
      </c>
      <c r="C245" s="17" cm="1">
        <f t="array" ref="C245">MAX(FN.DEV((CashInterest), Check!$B$247:$F$247))</f>
        <v>0</v>
      </c>
      <c r="D245" s="18" cm="1" t="str">
        <f t="array" ref="D245">IF(MAX(FN.DEV((CashInterest), Check!$B$247:$F$247)) &lt;= CHK.Tol, "PASS", "FAIL")</f>
        <v/>
      </c>
    </row>
    <row r="246" spans="1:20">
      <c r="A246" s="9" t="s">
        <v>161</v>
      </c>
      <c r="B246" s="9" t="s">
        <v>162</v>
      </c>
      <c r="C246" s="9" t="s">
        <v>193</v>
      </c>
      <c r="D246" s="9" t="s">
        <v>196</v>
      </c>
      <c r="E246" s="9" t="s">
        <v>199</v>
      </c>
      <c r="F246" s="9" t="s">
        <v>202</v>
      </c>
      <c r="H246" s="9" t="s">
        <v>163</v>
      </c>
      <c r="I246" s="9" t="s">
        <v>194</v>
      </c>
      <c r="J246" s="9" t="s">
        <v>197</v>
      </c>
      <c r="K246" s="9" t="s">
        <v>200</v>
      </c>
      <c r="L246" s="9" t="s">
        <v>203</v>
      </c>
      <c r="N246" s="9" t="s">
        <v>164</v>
      </c>
      <c r="O246" s="9" t="s">
        <v>195</v>
      </c>
      <c r="P246" s="9" t="s">
        <v>198</v>
      </c>
      <c r="Q246" s="9" t="s">
        <v>201</v>
      </c>
      <c r="R246" s="9" t="s">
        <v>204</v>
      </c>
      <c r="T246" s="9" t="s">
        <v>165</v>
      </c>
    </row>
    <row r="247" spans="1:20">
      <c r="A247" s="1" t="s">
        <v>313</v>
      </c>
      <c r="B247" s="7">
        <v>15.78947368421053</v>
      </c>
      <c r="C247" s="7">
        <v>27.97783933518006</v>
      </c>
      <c r="D247" s="7">
        <v>41.44919084414639</v>
      </c>
      <c r="E247" s="7">
        <v>56.33857935405654</v>
      </c>
      <c r="F247" s="7">
        <v>72.79527191764144</v>
      </c>
      <c r="H247" s="7" cm="1">
        <f t="array" ref="H247:L247">(CashInterest)</f>
        <v>0</v>
      </c>
      <c r="I247" s="7">
        <v>0</v>
      </c>
      <c r="J247" s="7">
        <v>0</v>
      </c>
      <c r="K247" s="7">
        <v>0</v>
      </c>
      <c r="L247" s="7">
        <v>0</v>
      </c>
      <c r="N247" s="17" cm="1">
        <f t="array" ref="N247:R247">FN.DEV((CashInterest), Check!$B$247:$F$247)</f>
        <v>0</v>
      </c>
      <c r="O247" s="17">
        <v>0</v>
      </c>
      <c r="P247" s="17">
        <v>0</v>
      </c>
      <c r="Q247" s="17">
        <v>0</v>
      </c>
      <c r="R247" s="17">
        <v>0</v>
      </c>
      <c r="T247" s="18" cm="1" t="str">
        <f t="array" ref="T247">_xlfn.BYROW(FN.DEV((CashInterest), Check!$B$247:$F$247), _xlfn.LAMBDA(_xlpm.dev_row, IF(MAX(_xlpm.dev_row) &lt;= CHK.Tol, "PASS", "FAIL")))</f>
        <v/>
      </c>
    </row>
    <row r="250" spans="1:20">
      <c r="A250" s="9" t="s">
        <v>314</v>
      </c>
      <c r="B250" s="1" t="s">
        <v>160</v>
      </c>
      <c r="C250" s="17" cm="1">
        <f t="array" ref="C250">MAX(FN.DEV((FixIterations), Check!$B$252:$B$252))</f>
        <v>0</v>
      </c>
      <c r="D250" s="18" cm="1" t="str">
        <f t="array" ref="D250">IF(MAX(FN.DEV((FixIterations), Check!$B$252:$B$252)) &lt;= CHK.Tol, "PASS", "FAIL")</f>
        <v/>
      </c>
    </row>
    <row r="251" spans="1:20">
      <c r="A251" s="9" t="s">
        <v>161</v>
      </c>
      <c r="B251" s="9" t="s">
        <v>162</v>
      </c>
      <c r="D251" s="9" t="s">
        <v>163</v>
      </c>
      <c r="F251" s="9" t="s">
        <v>164</v>
      </c>
      <c r="H251" s="9" t="s">
        <v>165</v>
      </c>
    </row>
    <row r="252" spans="1:20">
      <c r="A252" s="1" t="s">
        <v>315</v>
      </c>
      <c r="B252" s="7">
        <v>17</v>
      </c>
      <c r="D252" s="7" cm="1">
        <f t="array" ref="D252">(FixIterations)</f>
        <v>0</v>
      </c>
      <c r="F252" s="17" cm="1">
        <f t="array" ref="F252">FN.DEV((FixIterations), Check!$B$252:$B$252)</f>
        <v>0</v>
      </c>
      <c r="H252" s="18" cm="1" t="str">
        <f t="array" ref="H252">_xlfn.BYROW(FN.DEV((FixIterations), Check!$B$252:$B$252), _xlfn.LAMBDA(_xlpm.dev_row, IF(MAX(_xlpm.dev_row) &lt;= CHK.Tol, "PASS", "FAIL")))</f>
        <v/>
      </c>
    </row>
    <row r="255" spans="1:20">
      <c r="A255" s="9" t="s">
        <v>316</v>
      </c>
      <c r="B255" s="1" t="s">
        <v>160</v>
      </c>
      <c r="C255" s="17" cm="1">
        <f t="array" ref="C255">MAX(FN.DEV((Revenue_base), Check!$B$257:$F$259))</f>
        <v>0</v>
      </c>
      <c r="D255" s="18" cm="1" t="str">
        <f t="array" ref="D255">IF(MAX(FN.DEV((Revenue_base), Check!$B$257:$F$259)) &lt;= CHK.Tol, "PASS", "FAIL")</f>
        <v/>
      </c>
    </row>
    <row r="256" spans="1:20">
      <c r="A256" s="9" t="s">
        <v>161</v>
      </c>
      <c r="B256" s="9" t="s">
        <v>162</v>
      </c>
      <c r="C256" s="9" t="s">
        <v>193</v>
      </c>
      <c r="D256" s="9" t="s">
        <v>196</v>
      </c>
      <c r="E256" s="9" t="s">
        <v>199</v>
      </c>
      <c r="F256" s="9" t="s">
        <v>202</v>
      </c>
      <c r="H256" s="9" t="s">
        <v>163</v>
      </c>
      <c r="I256" s="9" t="s">
        <v>194</v>
      </c>
      <c r="J256" s="9" t="s">
        <v>197</v>
      </c>
      <c r="K256" s="9" t="s">
        <v>200</v>
      </c>
      <c r="L256" s="9" t="s">
        <v>203</v>
      </c>
      <c r="N256" s="9" t="s">
        <v>164</v>
      </c>
      <c r="O256" s="9" t="s">
        <v>195</v>
      </c>
      <c r="P256" s="9" t="s">
        <v>198</v>
      </c>
      <c r="Q256" s="9" t="s">
        <v>201</v>
      </c>
      <c r="R256" s="9" t="s">
        <v>204</v>
      </c>
      <c r="T256" s="9" t="s">
        <v>165</v>
      </c>
    </row>
    <row r="257" spans="1:20">
      <c r="A257" s="1" t="s">
        <v>317</v>
      </c>
      <c r="B257" s="7">
        <v>100</v>
      </c>
      <c r="C257" s="7">
        <v>110</v>
      </c>
      <c r="D257" s="7">
        <v>121</v>
      </c>
      <c r="E257" s="7">
        <v>133.1000000000001</v>
      </c>
      <c r="F257" s="7">
        <v>146.4100000000001</v>
      </c>
      <c r="H257" s="7" cm="1">
        <f t="array" ref="H257:L259">(Revenue_base)</f>
        <v>0</v>
      </c>
      <c r="I257" s="7">
        <v>0</v>
      </c>
      <c r="J257" s="7">
        <v>0</v>
      </c>
      <c r="K257" s="7">
        <v>0</v>
      </c>
      <c r="L257" s="7">
        <v>0</v>
      </c>
      <c r="N257" s="17" cm="1">
        <f t="array" ref="N257:R259">FN.DEV((Revenue_base), Check!$B$257:$F$259)</f>
        <v>0</v>
      </c>
      <c r="O257" s="17">
        <v>0</v>
      </c>
      <c r="P257" s="17">
        <v>0</v>
      </c>
      <c r="Q257" s="17">
        <v>0</v>
      </c>
      <c r="R257" s="17">
        <v>0</v>
      </c>
      <c r="T257" s="18" cm="1" t="str">
        <f t="array" ref="T257:T259">_xlfn.BYROW(FN.DEV((Revenue_base), Check!$B$257:$F$259), _xlfn.LAMBDA(_xlpm.dev_row, IF(MAX(_xlpm.dev_row) &lt;= CHK.Tol, "PASS", "FAIL")))</f>
        <v/>
      </c>
    </row>
    <row r="258" spans="1:20">
      <c r="A258" s="1" t="s">
        <v>318</v>
      </c>
      <c r="B258" s="7">
        <v>200</v>
      </c>
      <c r="C258" s="7">
        <v>210</v>
      </c>
      <c r="D258" s="7">
        <v>220.5</v>
      </c>
      <c r="E258" s="7">
        <v>231.525</v>
      </c>
      <c r="F258" s="7">
        <v>243.1012500000001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T258" s="18">
        <v>0</v>
      </c>
    </row>
    <row r="259" spans="1:20">
      <c r="A259" s="1" t="s">
        <v>319</v>
      </c>
      <c r="B259" s="7">
        <v>400</v>
      </c>
      <c r="C259" s="7">
        <v>400</v>
      </c>
      <c r="D259" s="7">
        <v>400</v>
      </c>
      <c r="E259" s="7">
        <v>400</v>
      </c>
      <c r="F259" s="7">
        <v>400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T259" s="18">
        <v>0</v>
      </c>
    </row>
    <row r="262" spans="1:20">
      <c r="A262" s="9" t="s">
        <v>320</v>
      </c>
      <c r="B262" s="1" t="s">
        <v>160</v>
      </c>
      <c r="C262" s="17" cm="1">
        <f t="array" ref="C262">MAX(FN.DEV((EBITDA_base), Check!$B$264:$F$266))</f>
        <v>0</v>
      </c>
      <c r="D262" s="18" cm="1" t="str">
        <f t="array" ref="D262">IF(MAX(FN.DEV((EBITDA_base), Check!$B$264:$F$266)) &lt;= CHK.Tol, "PASS", "FAIL")</f>
        <v/>
      </c>
    </row>
    <row r="263" spans="1:20">
      <c r="A263" s="9" t="s">
        <v>161</v>
      </c>
      <c r="B263" s="9" t="s">
        <v>162</v>
      </c>
      <c r="C263" s="9" t="s">
        <v>193</v>
      </c>
      <c r="D263" s="9" t="s">
        <v>196</v>
      </c>
      <c r="E263" s="9" t="s">
        <v>199</v>
      </c>
      <c r="F263" s="9" t="s">
        <v>202</v>
      </c>
      <c r="H263" s="9" t="s">
        <v>163</v>
      </c>
      <c r="I263" s="9" t="s">
        <v>194</v>
      </c>
      <c r="J263" s="9" t="s">
        <v>197</v>
      </c>
      <c r="K263" s="9" t="s">
        <v>200</v>
      </c>
      <c r="L263" s="9" t="s">
        <v>203</v>
      </c>
      <c r="N263" s="9" t="s">
        <v>164</v>
      </c>
      <c r="O263" s="9" t="s">
        <v>195</v>
      </c>
      <c r="P263" s="9" t="s">
        <v>198</v>
      </c>
      <c r="Q263" s="9" t="s">
        <v>201</v>
      </c>
      <c r="R263" s="9" t="s">
        <v>204</v>
      </c>
      <c r="T263" s="9" t="s">
        <v>165</v>
      </c>
    </row>
    <row r="264" spans="1:20">
      <c r="A264" s="1" t="s">
        <v>321</v>
      </c>
      <c r="B264" s="7">
        <v>20</v>
      </c>
      <c r="C264" s="7">
        <v>24.00000000000001</v>
      </c>
      <c r="D264" s="7">
        <v>28.40000000000001</v>
      </c>
      <c r="E264" s="7">
        <v>33.24000000000002</v>
      </c>
      <c r="F264" s="7">
        <v>38.56400000000002</v>
      </c>
      <c r="H264" s="7" cm="1">
        <f t="array" ref="H264:L266">(EBITDA_base)</f>
        <v>0</v>
      </c>
      <c r="I264" s="7">
        <v>0</v>
      </c>
      <c r="J264" s="7">
        <v>0</v>
      </c>
      <c r="K264" s="7">
        <v>0</v>
      </c>
      <c r="L264" s="7">
        <v>0</v>
      </c>
      <c r="N264" s="17" cm="1">
        <f t="array" ref="N264:R266">FN.DEV((EBITDA_base), Check!$B$264:$F$266)</f>
        <v>0</v>
      </c>
      <c r="O264" s="17">
        <v>0</v>
      </c>
      <c r="P264" s="17">
        <v>0</v>
      </c>
      <c r="Q264" s="17">
        <v>0</v>
      </c>
      <c r="R264" s="17">
        <v>0</v>
      </c>
      <c r="T264" s="18" cm="1" t="str">
        <f t="array" ref="T264:T266">_xlfn.BYROW(FN.DEV((EBITDA_base), Check!$B$264:$F$266), _xlfn.LAMBDA(_xlpm.dev_row, IF(MAX(_xlpm.dev_row) &lt;= CHK.Tol, "PASS", "FAIL")))</f>
        <v/>
      </c>
    </row>
    <row r="265" spans="1:20">
      <c r="A265" s="1" t="s">
        <v>322</v>
      </c>
      <c r="B265" s="7">
        <v>70</v>
      </c>
      <c r="C265" s="7">
        <v>75</v>
      </c>
      <c r="D265" s="7">
        <v>80.25</v>
      </c>
      <c r="E265" s="7">
        <v>85.76250000000002</v>
      </c>
      <c r="F265" s="7">
        <v>91.55062500000003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T265" s="18">
        <v>0</v>
      </c>
    </row>
    <row r="266" spans="1:20">
      <c r="A266" s="1" t="s">
        <v>323</v>
      </c>
      <c r="B266" s="7">
        <v>200</v>
      </c>
      <c r="C266" s="7">
        <v>200</v>
      </c>
      <c r="D266" s="7">
        <v>200</v>
      </c>
      <c r="E266" s="7">
        <v>200</v>
      </c>
      <c r="F266" s="7">
        <v>200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T266" s="18">
        <v>0</v>
      </c>
    </row>
    <row r="269" spans="1:20">
      <c r="A269" s="9" t="s">
        <v>324</v>
      </c>
      <c r="B269" s="1" t="s">
        <v>160</v>
      </c>
      <c r="C269" s="17" cm="1">
        <f t="array" ref="C269">MAX(FN.DEV((Revenue_upside), Check!$B$271:$F$273))</f>
        <v>0</v>
      </c>
      <c r="D269" s="18" cm="1" t="str">
        <f t="array" ref="D269">IF(MAX(FN.DEV((Revenue_upside), Check!$B$271:$F$273)) &lt;= CHK.Tol, "PASS", "FAIL")</f>
        <v/>
      </c>
    </row>
    <row r="270" spans="1:20">
      <c r="A270" s="9" t="s">
        <v>161</v>
      </c>
      <c r="B270" s="9" t="s">
        <v>162</v>
      </c>
      <c r="C270" s="9" t="s">
        <v>193</v>
      </c>
      <c r="D270" s="9" t="s">
        <v>196</v>
      </c>
      <c r="E270" s="9" t="s">
        <v>199</v>
      </c>
      <c r="F270" s="9" t="s">
        <v>202</v>
      </c>
      <c r="H270" s="9" t="s">
        <v>163</v>
      </c>
      <c r="I270" s="9" t="s">
        <v>194</v>
      </c>
      <c r="J270" s="9" t="s">
        <v>197</v>
      </c>
      <c r="K270" s="9" t="s">
        <v>200</v>
      </c>
      <c r="L270" s="9" t="s">
        <v>203</v>
      </c>
      <c r="N270" s="9" t="s">
        <v>164</v>
      </c>
      <c r="O270" s="9" t="s">
        <v>195</v>
      </c>
      <c r="P270" s="9" t="s">
        <v>198</v>
      </c>
      <c r="Q270" s="9" t="s">
        <v>201</v>
      </c>
      <c r="R270" s="9" t="s">
        <v>204</v>
      </c>
      <c r="T270" s="9" t="s">
        <v>165</v>
      </c>
    </row>
    <row r="271" spans="1:20">
      <c r="A271" s="1" t="s">
        <v>325</v>
      </c>
      <c r="B271" s="7">
        <v>100</v>
      </c>
      <c r="C271" s="7">
        <v>115</v>
      </c>
      <c r="D271" s="7">
        <v>132.25</v>
      </c>
      <c r="E271" s="7">
        <v>152.0875</v>
      </c>
      <c r="F271" s="7">
        <v>174.9006249999999</v>
      </c>
      <c r="H271" s="7" cm="1">
        <f t="array" ref="H271:L273">(Revenue_upside)</f>
        <v>0</v>
      </c>
      <c r="I271" s="7">
        <v>0</v>
      </c>
      <c r="J271" s="7">
        <v>0</v>
      </c>
      <c r="K271" s="7">
        <v>0</v>
      </c>
      <c r="L271" s="7">
        <v>0</v>
      </c>
      <c r="N271" s="17" cm="1">
        <f t="array" ref="N271:R273">FN.DEV((Revenue_upside), Check!$B$271:$F$273)</f>
        <v>0</v>
      </c>
      <c r="O271" s="17">
        <v>0</v>
      </c>
      <c r="P271" s="17">
        <v>0</v>
      </c>
      <c r="Q271" s="17">
        <v>0</v>
      </c>
      <c r="R271" s="17">
        <v>0</v>
      </c>
      <c r="T271" s="18" cm="1" t="str">
        <f t="array" ref="T271:T273">_xlfn.BYROW(FN.DEV((Revenue_upside), Check!$B$271:$F$273), _xlfn.LAMBDA(_xlpm.dev_row, IF(MAX(_xlpm.dev_row) &lt;= CHK.Tol, "PASS", "FAIL")))</f>
        <v/>
      </c>
    </row>
    <row r="272" spans="1:20">
      <c r="A272" s="1" t="s">
        <v>326</v>
      </c>
      <c r="B272" s="7">
        <v>200</v>
      </c>
      <c r="C272" s="7">
        <v>220</v>
      </c>
      <c r="D272" s="7">
        <v>242</v>
      </c>
      <c r="E272" s="7">
        <v>266.2000000000001</v>
      </c>
      <c r="F272" s="7">
        <v>292.8200000000001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T272" s="18">
        <v>0</v>
      </c>
    </row>
    <row r="273" spans="1:20">
      <c r="A273" s="1" t="s">
        <v>327</v>
      </c>
      <c r="B273" s="7">
        <v>400</v>
      </c>
      <c r="C273" s="7">
        <v>420</v>
      </c>
      <c r="D273" s="7">
        <v>441</v>
      </c>
      <c r="E273" s="7">
        <v>463.0500000000001</v>
      </c>
      <c r="F273" s="7">
        <v>486.2025000000001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T273" s="18">
        <v>0</v>
      </c>
    </row>
    <row r="276" spans="1:20">
      <c r="A276" s="9" t="s">
        <v>328</v>
      </c>
      <c r="B276" s="1" t="s">
        <v>160</v>
      </c>
      <c r="C276" s="17" cm="1">
        <f t="array" ref="C276">MAX(FN.DEV((EBITDA_upside), Check!$B$278:$F$280))</f>
        <v>0</v>
      </c>
      <c r="D276" s="18" cm="1" t="str">
        <f t="array" ref="D276">IF(MAX(FN.DEV((EBITDA_upside), Check!$B$278:$F$280)) &lt;= CHK.Tol, "PASS", "FAIL")</f>
        <v/>
      </c>
    </row>
    <row r="277" spans="1:20">
      <c r="A277" s="9" t="s">
        <v>161</v>
      </c>
      <c r="B277" s="9" t="s">
        <v>162</v>
      </c>
      <c r="C277" s="9" t="s">
        <v>193</v>
      </c>
      <c r="D277" s="9" t="s">
        <v>196</v>
      </c>
      <c r="E277" s="9" t="s">
        <v>199</v>
      </c>
      <c r="F277" s="9" t="s">
        <v>202</v>
      </c>
      <c r="H277" s="9" t="s">
        <v>163</v>
      </c>
      <c r="I277" s="9" t="s">
        <v>194</v>
      </c>
      <c r="J277" s="9" t="s">
        <v>197</v>
      </c>
      <c r="K277" s="9" t="s">
        <v>200</v>
      </c>
      <c r="L277" s="9" t="s">
        <v>203</v>
      </c>
      <c r="N277" s="9" t="s">
        <v>164</v>
      </c>
      <c r="O277" s="9" t="s">
        <v>195</v>
      </c>
      <c r="P277" s="9" t="s">
        <v>198</v>
      </c>
      <c r="Q277" s="9" t="s">
        <v>201</v>
      </c>
      <c r="R277" s="9" t="s">
        <v>204</v>
      </c>
      <c r="T277" s="9" t="s">
        <v>165</v>
      </c>
    </row>
    <row r="278" spans="1:20">
      <c r="A278" s="1" t="s">
        <v>329</v>
      </c>
      <c r="B278" s="7">
        <v>20</v>
      </c>
      <c r="C278" s="7">
        <v>26</v>
      </c>
      <c r="D278" s="7">
        <v>32.89999999999999</v>
      </c>
      <c r="E278" s="7">
        <v>40.83499999999999</v>
      </c>
      <c r="F278" s="7">
        <v>49.96024999999997</v>
      </c>
      <c r="H278" s="7" cm="1">
        <f t="array" ref="H278:L280">(EBITDA_upside)</f>
        <v>0</v>
      </c>
      <c r="I278" s="7">
        <v>0</v>
      </c>
      <c r="J278" s="7">
        <v>0</v>
      </c>
      <c r="K278" s="7">
        <v>0</v>
      </c>
      <c r="L278" s="7">
        <v>0</v>
      </c>
      <c r="N278" s="17" cm="1">
        <f t="array" ref="N278:R280">FN.DEV((EBITDA_upside), Check!$B$278:$F$280)</f>
        <v>0</v>
      </c>
      <c r="O278" s="17">
        <v>0</v>
      </c>
      <c r="P278" s="17">
        <v>0</v>
      </c>
      <c r="Q278" s="17">
        <v>0</v>
      </c>
      <c r="R278" s="17">
        <v>0</v>
      </c>
      <c r="T278" s="18" cm="1" t="str">
        <f t="array" ref="T278:T280">_xlfn.BYROW(FN.DEV((EBITDA_upside), Check!$B$278:$F$280), _xlfn.LAMBDA(_xlpm.dev_row, IF(MAX(_xlpm.dev_row) &lt;= CHK.Tol, "PASS", "FAIL")))</f>
        <v/>
      </c>
    </row>
    <row r="279" spans="1:20">
      <c r="A279" s="1" t="s">
        <v>330</v>
      </c>
      <c r="B279" s="7">
        <v>70</v>
      </c>
      <c r="C279" s="7">
        <v>80.00000000000001</v>
      </c>
      <c r="D279" s="7">
        <v>91.00000000000001</v>
      </c>
      <c r="E279" s="7">
        <v>103.1000000000001</v>
      </c>
      <c r="F279" s="7">
        <v>116.4100000000001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T279" s="18">
        <v>0</v>
      </c>
    </row>
    <row r="280" spans="1:20">
      <c r="A280" s="1" t="s">
        <v>331</v>
      </c>
      <c r="B280" s="7">
        <v>200</v>
      </c>
      <c r="C280" s="7">
        <v>212</v>
      </c>
      <c r="D280" s="7">
        <v>224.6</v>
      </c>
      <c r="E280" s="7">
        <v>237.83</v>
      </c>
      <c r="F280" s="7">
        <v>251.7215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T280" s="18">
        <v>0</v>
      </c>
    </row>
    <row r="283" spans="1:20">
      <c r="A283" s="9" t="s">
        <v>332</v>
      </c>
      <c r="B283" s="1" t="s">
        <v>160</v>
      </c>
      <c r="C283" s="17" cm="1">
        <f t="array" ref="C283">MAX(FN.DEV((_xlfn.ANCHORARRAY('8 Audit'!C5)), Check!$B$285:$F$285))</f>
        <v>0</v>
      </c>
      <c r="D283" s="18" cm="1" t="str">
        <f t="array" ref="D283">IF(MAX(FN.DEV((_xlfn.ANCHORARRAY('8 Audit'!C5)), Check!$B$285:$F$285)) &lt;= CHK.Tol, "PASS", "FAIL")</f>
        <v/>
      </c>
    </row>
    <row r="284" spans="1:20">
      <c r="A284" s="9" t="s">
        <v>161</v>
      </c>
      <c r="B284" s="9" t="s">
        <v>162</v>
      </c>
      <c r="C284" s="9" t="s">
        <v>193</v>
      </c>
      <c r="D284" s="9" t="s">
        <v>196</v>
      </c>
      <c r="E284" s="9" t="s">
        <v>199</v>
      </c>
      <c r="F284" s="9" t="s">
        <v>202</v>
      </c>
      <c r="H284" s="9" t="s">
        <v>163</v>
      </c>
      <c r="I284" s="9" t="s">
        <v>194</v>
      </c>
      <c r="J284" s="9" t="s">
        <v>197</v>
      </c>
      <c r="K284" s="9" t="s">
        <v>200</v>
      </c>
      <c r="L284" s="9" t="s">
        <v>203</v>
      </c>
      <c r="N284" s="9" t="s">
        <v>164</v>
      </c>
      <c r="O284" s="9" t="s">
        <v>195</v>
      </c>
      <c r="P284" s="9" t="s">
        <v>198</v>
      </c>
      <c r="Q284" s="9" t="s">
        <v>201</v>
      </c>
      <c r="R284" s="9" t="s">
        <v>204</v>
      </c>
      <c r="T284" s="9" t="s">
        <v>165</v>
      </c>
    </row>
    <row r="285" spans="1:20">
      <c r="A285" s="1" t="s">
        <v>333</v>
      </c>
      <c r="B285" s="7">
        <v>20</v>
      </c>
      <c r="C285" s="7">
        <v>24.00000000000001</v>
      </c>
      <c r="D285" s="7">
        <v>28.40000000000001</v>
      </c>
      <c r="E285" s="7">
        <v>33.24000000000002</v>
      </c>
      <c r="F285" s="7">
        <v>38.56400000000002</v>
      </c>
      <c r="H285" s="7" cm="1">
        <f t="array" ref="H285:L285">(_xlfn.ANCHORARRAY('8 Audit'!C5))</f>
        <v>0</v>
      </c>
      <c r="I285" s="7">
        <v>0</v>
      </c>
      <c r="J285" s="7">
        <v>0</v>
      </c>
      <c r="K285" s="7">
        <v>0</v>
      </c>
      <c r="L285" s="7">
        <v>0</v>
      </c>
      <c r="N285" s="17" cm="1">
        <f t="array" ref="N285:R285">FN.DEV((_xlfn.ANCHORARRAY('8 Audit'!C5)), Check!$B$285:$F$285)</f>
        <v>0</v>
      </c>
      <c r="O285" s="17">
        <v>0</v>
      </c>
      <c r="P285" s="17">
        <v>0</v>
      </c>
      <c r="Q285" s="17">
        <v>0</v>
      </c>
      <c r="R285" s="17">
        <v>0</v>
      </c>
      <c r="T285" s="18" cm="1" t="str">
        <f t="array" ref="T285">_xlfn.BYROW(FN.DEV((_xlfn.ANCHORARRAY('8 Audit'!C5)), Check!$B$285:$F$285), _xlfn.LAMBDA(_xlpm.dev_row, IF(MAX(_xlpm.dev_row) &lt;= CHK.Tol, "PASS", "FAIL")))</f>
        <v/>
      </c>
    </row>
    <row r="288" spans="1:20">
      <c r="A288" s="9" t="s">
        <v>334</v>
      </c>
      <c r="B288" s="1" t="s">
        <v>160</v>
      </c>
      <c r="C288" s="17" cm="1">
        <f t="array" ref="C288">MAX(FN.DEV((_xlfn.ANCHORARRAY('8 Audit'!C10)), Check!$B$290:$F$290))</f>
        <v>0</v>
      </c>
      <c r="D288" s="18" cm="1" t="str">
        <f t="array" ref="D288">IF(MAX(FN.DEV((_xlfn.ANCHORARRAY('8 Audit'!C10)), Check!$B$290:$F$290)) &lt;= CHK.Tol, "PASS", "FAIL")</f>
        <v/>
      </c>
    </row>
    <row r="289" spans="1:20">
      <c r="A289" s="9" t="s">
        <v>161</v>
      </c>
      <c r="B289" s="9" t="s">
        <v>162</v>
      </c>
      <c r="C289" s="9" t="s">
        <v>193</v>
      </c>
      <c r="D289" s="9" t="s">
        <v>196</v>
      </c>
      <c r="E289" s="9" t="s">
        <v>199</v>
      </c>
      <c r="F289" s="9" t="s">
        <v>202</v>
      </c>
      <c r="H289" s="9" t="s">
        <v>163</v>
      </c>
      <c r="I289" s="9" t="s">
        <v>194</v>
      </c>
      <c r="J289" s="9" t="s">
        <v>197</v>
      </c>
      <c r="K289" s="9" t="s">
        <v>200</v>
      </c>
      <c r="L289" s="9" t="s">
        <v>203</v>
      </c>
      <c r="N289" s="9" t="s">
        <v>164</v>
      </c>
      <c r="O289" s="9" t="s">
        <v>195</v>
      </c>
      <c r="P289" s="9" t="s">
        <v>198</v>
      </c>
      <c r="Q289" s="9" t="s">
        <v>201</v>
      </c>
      <c r="R289" s="9" t="s">
        <v>204</v>
      </c>
      <c r="T289" s="9" t="s">
        <v>165</v>
      </c>
    </row>
    <row r="290" spans="1:20">
      <c r="A290" s="1" t="s">
        <v>335</v>
      </c>
      <c r="B290" s="7">
        <v>100</v>
      </c>
      <c r="C290" s="7">
        <v>110</v>
      </c>
      <c r="D290" s="7">
        <v>121</v>
      </c>
      <c r="E290" s="7">
        <v>133.1000000000001</v>
      </c>
      <c r="F290" s="7">
        <v>146.4100000000001</v>
      </c>
      <c r="H290" s="7" cm="1">
        <f t="array" ref="H290:L290">(_xlfn.ANCHORARRAY('8 Audit'!C10))</f>
        <v>0</v>
      </c>
      <c r="I290" s="7">
        <v>0</v>
      </c>
      <c r="J290" s="7">
        <v>0</v>
      </c>
      <c r="K290" s="7">
        <v>0</v>
      </c>
      <c r="L290" s="7">
        <v>0</v>
      </c>
      <c r="N290" s="17" cm="1">
        <f t="array" ref="N290:R290">FN.DEV((_xlfn.ANCHORARRAY('8 Audit'!C10)), Check!$B$290:$F$290)</f>
        <v>0</v>
      </c>
      <c r="O290" s="17">
        <v>0</v>
      </c>
      <c r="P290" s="17">
        <v>0</v>
      </c>
      <c r="Q290" s="17">
        <v>0</v>
      </c>
      <c r="R290" s="17">
        <v>0</v>
      </c>
      <c r="T290" s="18" cm="1" t="str">
        <f t="array" ref="T290">_xlfn.BYROW(FN.DEV((_xlfn.ANCHORARRAY('8 Audit'!C10)), Check!$B$290:$F$290), _xlfn.LAMBDA(_xlpm.dev_row, IF(MAX(_xlpm.dev_row) &lt;= CHK.Tol, "PASS", "FAIL")))</f>
        <v/>
      </c>
    </row>
    <row r="293" spans="1:20">
      <c r="A293" s="9" t="s">
        <v>336</v>
      </c>
      <c r="B293" s="1" t="s">
        <v>160</v>
      </c>
      <c r="C293" s="17" cm="1">
        <f t="array" ref="C293">MAX(FN.DEV((_xlfn.ANCHORARRAY('8 Audit'!C11)), Check!$B$295:$F$295))</f>
        <v>0</v>
      </c>
      <c r="D293" s="18" cm="1" t="str">
        <f t="array" ref="D293">IF(MAX(FN.DEV((_xlfn.ANCHORARRAY('8 Audit'!C11)), Check!$B$295:$F$295)) &lt;= CHK.Tol, "PASS", "FAIL")</f>
        <v/>
      </c>
    </row>
    <row r="294" spans="1:20">
      <c r="A294" s="9" t="s">
        <v>161</v>
      </c>
      <c r="B294" s="9" t="s">
        <v>162</v>
      </c>
      <c r="C294" s="9" t="s">
        <v>193</v>
      </c>
      <c r="D294" s="9" t="s">
        <v>196</v>
      </c>
      <c r="E294" s="9" t="s">
        <v>199</v>
      </c>
      <c r="F294" s="9" t="s">
        <v>202</v>
      </c>
      <c r="H294" s="9" t="s">
        <v>163</v>
      </c>
      <c r="I294" s="9" t="s">
        <v>194</v>
      </c>
      <c r="J294" s="9" t="s">
        <v>197</v>
      </c>
      <c r="K294" s="9" t="s">
        <v>200</v>
      </c>
      <c r="L294" s="9" t="s">
        <v>203</v>
      </c>
      <c r="N294" s="9" t="s">
        <v>164</v>
      </c>
      <c r="O294" s="9" t="s">
        <v>195</v>
      </c>
      <c r="P294" s="9" t="s">
        <v>198</v>
      </c>
      <c r="Q294" s="9" t="s">
        <v>201</v>
      </c>
      <c r="R294" s="9" t="s">
        <v>204</v>
      </c>
      <c r="T294" s="9" t="s">
        <v>165</v>
      </c>
    </row>
    <row r="295" spans="1:20">
      <c r="A295" s="1" t="s">
        <v>337</v>
      </c>
      <c r="B295" s="7">
        <v>60</v>
      </c>
      <c r="C295" s="7">
        <v>66</v>
      </c>
      <c r="D295" s="7">
        <v>72.60000000000001</v>
      </c>
      <c r="E295" s="7">
        <v>79.86000000000003</v>
      </c>
      <c r="F295" s="7">
        <v>87.84600000000003</v>
      </c>
      <c r="H295" s="7" cm="1">
        <f t="array" ref="H295:L295">(_xlfn.ANCHORARRAY('8 Audit'!C11))</f>
        <v>0</v>
      </c>
      <c r="I295" s="7">
        <v>0</v>
      </c>
      <c r="J295" s="7">
        <v>0</v>
      </c>
      <c r="K295" s="7">
        <v>0</v>
      </c>
      <c r="L295" s="7">
        <v>0</v>
      </c>
      <c r="N295" s="17" cm="1">
        <f t="array" ref="N295:R295">FN.DEV((_xlfn.ANCHORARRAY('8 Audit'!C11)), Check!$B$295:$F$295)</f>
        <v>0</v>
      </c>
      <c r="O295" s="17">
        <v>0</v>
      </c>
      <c r="P295" s="17">
        <v>0</v>
      </c>
      <c r="Q295" s="17">
        <v>0</v>
      </c>
      <c r="R295" s="17">
        <v>0</v>
      </c>
      <c r="T295" s="18" cm="1" t="str">
        <f t="array" ref="T295">_xlfn.BYROW(FN.DEV((_xlfn.ANCHORARRAY('8 Audit'!C11)), Check!$B$295:$F$295), _xlfn.LAMBDA(_xlpm.dev_row, IF(MAX(_xlpm.dev_row) &lt;= CHK.Tol, "PASS", "FAIL")))</f>
        <v/>
      </c>
    </row>
    <row r="298" spans="1:20">
      <c r="A298" s="9" t="s">
        <v>338</v>
      </c>
      <c r="B298" s="1" t="s">
        <v>160</v>
      </c>
      <c r="C298" s="17" cm="1">
        <f t="array" ref="C298">MAX(FN.DEV((_xlfn.ANCHORARRAY('8 Audit'!C13)), Check!$B$300:$F$300))</f>
        <v>0</v>
      </c>
      <c r="D298" s="18" cm="1" t="str">
        <f t="array" ref="D298">IF(MAX(FN.DEV((_xlfn.ANCHORARRAY('8 Audit'!C13)), Check!$B$300:$F$300)) &lt;= CHK.Tol, "PASS", "FAIL")</f>
        <v/>
      </c>
    </row>
    <row r="299" spans="1:20">
      <c r="A299" s="9" t="s">
        <v>161</v>
      </c>
      <c r="B299" s="9" t="s">
        <v>162</v>
      </c>
      <c r="C299" s="9" t="s">
        <v>193</v>
      </c>
      <c r="D299" s="9" t="s">
        <v>196</v>
      </c>
      <c r="E299" s="9" t="s">
        <v>199</v>
      </c>
      <c r="F299" s="9" t="s">
        <v>202</v>
      </c>
      <c r="H299" s="9" t="s">
        <v>163</v>
      </c>
      <c r="I299" s="9" t="s">
        <v>194</v>
      </c>
      <c r="J299" s="9" t="s">
        <v>197</v>
      </c>
      <c r="K299" s="9" t="s">
        <v>200</v>
      </c>
      <c r="L299" s="9" t="s">
        <v>203</v>
      </c>
      <c r="N299" s="9" t="s">
        <v>164</v>
      </c>
      <c r="O299" s="9" t="s">
        <v>195</v>
      </c>
      <c r="P299" s="9" t="s">
        <v>198</v>
      </c>
      <c r="Q299" s="9" t="s">
        <v>201</v>
      </c>
      <c r="R299" s="9" t="s">
        <v>204</v>
      </c>
      <c r="T299" s="9" t="s">
        <v>165</v>
      </c>
    </row>
    <row r="300" spans="1:20">
      <c r="A300" s="1" t="s">
        <v>339</v>
      </c>
      <c r="B300" s="7">
        <v>20</v>
      </c>
      <c r="C300" s="7">
        <v>24.00000000000001</v>
      </c>
      <c r="D300" s="7">
        <v>28.40000000000001</v>
      </c>
      <c r="E300" s="7">
        <v>33.24000000000002</v>
      </c>
      <c r="F300" s="7">
        <v>38.56400000000002</v>
      </c>
      <c r="H300" s="7" cm="1">
        <f t="array" ref="H300:L300">(_xlfn.ANCHORARRAY('8 Audit'!C13))</f>
        <v>0</v>
      </c>
      <c r="I300" s="7">
        <v>0</v>
      </c>
      <c r="J300" s="7">
        <v>0</v>
      </c>
      <c r="K300" s="7">
        <v>0</v>
      </c>
      <c r="L300" s="7">
        <v>0</v>
      </c>
      <c r="N300" s="17" cm="1">
        <f t="array" ref="N300:R300">FN.DEV((_xlfn.ANCHORARRAY('8 Audit'!C13)), Check!$B$300:$F$300)</f>
        <v>0</v>
      </c>
      <c r="O300" s="17">
        <v>0</v>
      </c>
      <c r="P300" s="17">
        <v>0</v>
      </c>
      <c r="Q300" s="17">
        <v>0</v>
      </c>
      <c r="R300" s="17">
        <v>0</v>
      </c>
      <c r="T300" s="18" cm="1" t="str">
        <f t="array" ref="T300">_xlfn.BYROW(FN.DEV((_xlfn.ANCHORARRAY('8 Audit'!C13)), Check!$B$300:$F$300), _xlfn.LAMBDA(_xlpm.dev_row, IF(MAX(_xlpm.dev_row) &lt;= CHK.Tol, "PASS", "FAIL")))</f>
        <v/>
      </c>
    </row>
    <row r="303" spans="1:20">
      <c r="A303" s="9" t="s">
        <v>340</v>
      </c>
      <c r="B303" s="1" t="s">
        <v>160</v>
      </c>
      <c r="C303" s="17" cm="1">
        <f t="array" ref="C303">MAX(FN.DEV((Traps!C8), Check!$B$305:$B$305))</f>
        <v>0</v>
      </c>
      <c r="D303" s="18" cm="1" t="str">
        <f t="array" ref="D303">IF(MAX(FN.DEV((Traps!C8), Check!$B$305:$B$305)) &lt;= CHK.Tol, "PASS", "FAIL")</f>
        <v/>
      </c>
    </row>
    <row r="304" spans="1:20">
      <c r="A304" s="9" t="s">
        <v>161</v>
      </c>
      <c r="B304" s="9" t="s">
        <v>162</v>
      </c>
      <c r="D304" s="9" t="s">
        <v>163</v>
      </c>
      <c r="F304" s="9" t="s">
        <v>164</v>
      </c>
      <c r="H304" s="9" t="s">
        <v>165</v>
      </c>
    </row>
    <row r="305" spans="1:20">
      <c r="A305" s="1" t="s">
        <v>341</v>
      </c>
      <c r="B305" s="7">
        <v>0</v>
      </c>
      <c r="D305" s="7" cm="1">
        <f t="array" ref="D305">(Traps!C8)</f>
        <v>0</v>
      </c>
      <c r="F305" s="17" cm="1">
        <f t="array" ref="F305">FN.DEV((Traps!C8), Check!$B$305:$B$305)</f>
        <v>0</v>
      </c>
      <c r="H305" s="18" cm="1" t="str">
        <f t="array" ref="H305">_xlfn.BYROW(FN.DEV((Traps!C8), Check!$B$305:$B$305), _xlfn.LAMBDA(_xlpm.dev_row, IF(MAX(_xlpm.dev_row) &lt;= CHK.Tol, "PASS", "FAIL")))</f>
        <v/>
      </c>
    </row>
    <row r="308" spans="1:20">
      <c r="A308" s="9" t="s">
        <v>342</v>
      </c>
      <c r="B308" s="1" t="s">
        <v>160</v>
      </c>
      <c r="C308" s="17" cm="1">
        <f t="array" ref="C308">MAX(FN.DEV((_xlfn.ANCHORARRAY(Traps!C9)), Check!$B$310:$F$310))</f>
        <v>0</v>
      </c>
      <c r="D308" s="18" cm="1" t="str">
        <f t="array" ref="D308">IF(MAX(FN.DEV((_xlfn.ANCHORARRAY(Traps!C9)), Check!$B$310:$F$310)) &lt;= CHK.Tol, "PASS", "FAIL")</f>
        <v/>
      </c>
    </row>
    <row r="309" spans="1:20">
      <c r="A309" s="9" t="s">
        <v>161</v>
      </c>
      <c r="B309" s="9" t="s">
        <v>162</v>
      </c>
      <c r="C309" s="9" t="s">
        <v>193</v>
      </c>
      <c r="D309" s="9" t="s">
        <v>196</v>
      </c>
      <c r="E309" s="9" t="s">
        <v>199</v>
      </c>
      <c r="F309" s="9" t="s">
        <v>202</v>
      </c>
      <c r="H309" s="9" t="s">
        <v>163</v>
      </c>
      <c r="I309" s="9" t="s">
        <v>194</v>
      </c>
      <c r="J309" s="9" t="s">
        <v>197</v>
      </c>
      <c r="K309" s="9" t="s">
        <v>200</v>
      </c>
      <c r="L309" s="9" t="s">
        <v>203</v>
      </c>
      <c r="N309" s="9" t="s">
        <v>164</v>
      </c>
      <c r="O309" s="9" t="s">
        <v>195</v>
      </c>
      <c r="P309" s="9" t="s">
        <v>198</v>
      </c>
      <c r="Q309" s="9" t="s">
        <v>201</v>
      </c>
      <c r="R309" s="9" t="s">
        <v>204</v>
      </c>
      <c r="T309" s="9" t="s">
        <v>165</v>
      </c>
    </row>
    <row r="310" spans="1:20">
      <c r="A310" s="1" t="s">
        <v>343</v>
      </c>
      <c r="B310" s="7">
        <v>1</v>
      </c>
      <c r="C310" s="7">
        <v>0</v>
      </c>
      <c r="D310" s="7">
        <v>0</v>
      </c>
      <c r="E310" s="7">
        <v>0</v>
      </c>
      <c r="F310" s="7">
        <v>1</v>
      </c>
      <c r="H310" s="7" cm="1">
        <f t="array" ref="H310:L310">(_xlfn.ANCHORARRAY(Traps!C9))</f>
        <v>0</v>
      </c>
      <c r="I310" s="7">
        <v>0</v>
      </c>
      <c r="J310" s="7">
        <v>0</v>
      </c>
      <c r="K310" s="7">
        <v>0</v>
      </c>
      <c r="L310" s="7">
        <v>0</v>
      </c>
      <c r="N310" s="17" cm="1">
        <f t="array" ref="N310:R310">FN.DEV((_xlfn.ANCHORARRAY(Traps!C9)), Check!$B$310:$F$310)</f>
        <v>0</v>
      </c>
      <c r="O310" s="17">
        <v>0</v>
      </c>
      <c r="P310" s="17">
        <v>0</v>
      </c>
      <c r="Q310" s="17">
        <v>0</v>
      </c>
      <c r="R310" s="17">
        <v>0</v>
      </c>
      <c r="T310" s="18" cm="1" t="str">
        <f t="array" ref="T310">_xlfn.BYROW(FN.DEV((_xlfn.ANCHORARRAY(Traps!C9)), Check!$B$310:$F$310), _xlfn.LAMBDA(_xlpm.dev_row, IF(MAX(_xlpm.dev_row) &lt;= CHK.Tol, "PASS", "FAIL")))</f>
        <v/>
      </c>
    </row>
    <row r="313" spans="1:20">
      <c r="A313" s="9" t="s">
        <v>344</v>
      </c>
      <c r="B313" s="1" t="s">
        <v>160</v>
      </c>
      <c r="C313" s="17" cm="1">
        <f t="array" ref="C313">MAX(FN.DEV((Traps!E12), Check!$B$315:$B$315))</f>
        <v>0</v>
      </c>
      <c r="D313" s="18" cm="1" t="str">
        <f t="array" ref="D313">IF(MAX(FN.DEV((Traps!E12), Check!$B$315:$B$315)) &lt;= CHK.Tol, "PASS", "FAIL")</f>
        <v/>
      </c>
    </row>
    <row r="314" spans="1:20">
      <c r="A314" s="9" t="s">
        <v>161</v>
      </c>
      <c r="B314" s="9" t="s">
        <v>162</v>
      </c>
      <c r="D314" s="9" t="s">
        <v>163</v>
      </c>
      <c r="F314" s="9" t="s">
        <v>164</v>
      </c>
      <c r="H314" s="9" t="s">
        <v>165</v>
      </c>
    </row>
    <row r="315" spans="1:20">
      <c r="A315" s="1" t="s">
        <v>345</v>
      </c>
      <c r="B315" s="7">
        <v>4</v>
      </c>
      <c r="D315" s="7" cm="1">
        <f t="array" ref="D315">(Traps!E12)</f>
        <v>0</v>
      </c>
      <c r="F315" s="17" cm="1">
        <f t="array" ref="F315">FN.DEV((Traps!E12), Check!$B$315:$B$315)</f>
        <v>0</v>
      </c>
      <c r="H315" s="18" cm="1" t="str">
        <f t="array" ref="H315">_xlfn.BYROW(FN.DEV((Traps!E12), Check!$B$315:$B$315), _xlfn.LAMBDA(_xlpm.dev_row, IF(MAX(_xlpm.dev_row) &lt;= CHK.Tol, "PASS", "FAIL")))</f>
        <v/>
      </c>
    </row>
    <row r="318" spans="1:20">
      <c r="A318" s="9" t="s">
        <v>346</v>
      </c>
      <c r="B318" s="1" t="s">
        <v>160</v>
      </c>
      <c r="C318" s="17" cm="1">
        <f t="array" ref="C318">MAX(FN.DEV((Traps!E13), Check!$B$320:$B$320))</f>
        <v>0</v>
      </c>
      <c r="D318" s="18" cm="1" t="str">
        <f t="array" ref="D318">IF(MAX(FN.DEV((Traps!E13), Check!$B$320:$B$320)) &lt;= CHK.Tol, "PASS", "FAIL")</f>
        <v/>
      </c>
    </row>
    <row r="319" spans="1:20">
      <c r="A319" s="9" t="s">
        <v>161</v>
      </c>
      <c r="B319" s="9" t="s">
        <v>162</v>
      </c>
      <c r="D319" s="9" t="s">
        <v>163</v>
      </c>
      <c r="F319" s="9" t="s">
        <v>164</v>
      </c>
      <c r="H319" s="9" t="s">
        <v>165</v>
      </c>
    </row>
    <row r="320" spans="1:20">
      <c r="A320" s="1" t="s">
        <v>347</v>
      </c>
      <c r="B320" s="7">
        <v>5</v>
      </c>
      <c r="D320" s="7" cm="1">
        <f t="array" ref="D320">(Traps!E13)</f>
        <v>0</v>
      </c>
      <c r="F320" s="17" cm="1">
        <f t="array" ref="F320">FN.DEV((Traps!E13), Check!$B$320:$B$320)</f>
        <v>0</v>
      </c>
      <c r="H320" s="18" cm="1" t="str">
        <f t="array" ref="H320">_xlfn.BYROW(FN.DEV((Traps!E13), Check!$B$320:$B$320), _xlfn.LAMBDA(_xlpm.dev_row, IF(MAX(_xlpm.dev_row) &lt;= CHK.Tol, "PASS", "FAIL")))</f>
        <v/>
      </c>
    </row>
    <row r="323" spans="1:8">
      <c r="A323" s="9" t="s">
        <v>348</v>
      </c>
      <c r="B323" s="1" t="s">
        <v>160</v>
      </c>
      <c r="C323" s="17" cm="1">
        <f t="array" ref="C323">MAX(FN.DEV((Traps!E16), Check!$B$325:$B$325))</f>
        <v>0</v>
      </c>
      <c r="D323" s="18" cm="1" t="str">
        <f t="array" ref="D323">IF(MAX(FN.DEV((Traps!E16), Check!$B$325:$B$325)) &lt;= CHK.Tol, "PASS", "FAIL")</f>
        <v/>
      </c>
    </row>
    <row r="324" spans="1:8">
      <c r="A324" s="9" t="s">
        <v>161</v>
      </c>
      <c r="B324" s="9" t="s">
        <v>162</v>
      </c>
      <c r="D324" s="9" t="s">
        <v>163</v>
      </c>
      <c r="F324" s="9" t="s">
        <v>164</v>
      </c>
      <c r="H324" s="9" t="s">
        <v>165</v>
      </c>
    </row>
    <row r="325" spans="1:8">
      <c r="A325" s="1" t="s">
        <v>349</v>
      </c>
      <c r="B325" s="7">
        <v>0</v>
      </c>
      <c r="D325" s="7" cm="1">
        <f t="array" ref="D325">(Traps!E16)</f>
        <v>0</v>
      </c>
      <c r="F325" s="17" cm="1">
        <f t="array" ref="F325">FN.DEV((Traps!E16), Check!$B$325:$B$325)</f>
        <v>0</v>
      </c>
      <c r="H325" s="18" cm="1" t="str">
        <f t="array" ref="H325">_xlfn.BYROW(FN.DEV((Traps!E16), Check!$B$325:$B$325), _xlfn.LAMBDA(_xlpm.dev_row, IF(MAX(_xlpm.dev_row) &lt;= CHK.Tol, "PASS", "FAIL")))</f>
        <v/>
      </c>
    </row>
    <row r="328" spans="1:8">
      <c r="A328" s="9" t="s">
        <v>350</v>
      </c>
      <c r="B328" s="1" t="s">
        <v>160</v>
      </c>
      <c r="C328" s="17" cm="1">
        <f t="array" ref="C328">MAX(FN.DEV((Traps!E17), Check!$B$330:$B$330))</f>
        <v>0</v>
      </c>
      <c r="D328" s="18" cm="1" t="str">
        <f t="array" ref="D328">IF(MAX(FN.DEV((Traps!E17), Check!$B$330:$B$330)) &lt;= CHK.Tol, "PASS", "FAIL")</f>
        <v/>
      </c>
    </row>
    <row r="329" spans="1:8">
      <c r="A329" s="9" t="s">
        <v>161</v>
      </c>
      <c r="B329" s="9" t="s">
        <v>162</v>
      </c>
      <c r="D329" s="9" t="s">
        <v>163</v>
      </c>
      <c r="F329" s="9" t="s">
        <v>164</v>
      </c>
      <c r="H329" s="9" t="s">
        <v>165</v>
      </c>
    </row>
    <row r="330" spans="1:8">
      <c r="A330" s="1" t="s">
        <v>351</v>
      </c>
      <c r="B330" s="7">
        <v>3</v>
      </c>
      <c r="D330" s="7" cm="1">
        <f t="array" ref="D330">(Traps!E17)</f>
        <v>0</v>
      </c>
      <c r="F330" s="17" cm="1">
        <f t="array" ref="F330">FN.DEV((Traps!E17), Check!$B$330:$B$330)</f>
        <v>0</v>
      </c>
      <c r="H330" s="18" cm="1" t="str">
        <f t="array" ref="H330">_xlfn.BYROW(FN.DEV((Traps!E17), Check!$B$330:$B$330), _xlfn.LAMBDA(_xlpm.dev_row, IF(MAX(_xlpm.dev_row) &lt;= CHK.Tol, "PASS", "FAIL")))</f>
        <v/>
      </c>
    </row>
    <row r="333" spans="1:8">
      <c r="A333" s="9" t="s">
        <v>352</v>
      </c>
      <c r="B333" s="1" t="s">
        <v>160</v>
      </c>
      <c r="C333" s="17" cm="1">
        <f t="array" ref="C333">MAX(FN.DEV((Traps!E18), Check!$B$335:$B$335))</f>
        <v>0</v>
      </c>
      <c r="D333" s="18" cm="1" t="str">
        <f t="array" ref="D333">IF(MAX(FN.DEV((Traps!E18), Check!$B$335:$B$335)) &lt;= CHK.Tol, "PASS", "FAIL")</f>
        <v/>
      </c>
    </row>
    <row r="334" spans="1:8">
      <c r="A334" s="9" t="s">
        <v>161</v>
      </c>
      <c r="B334" s="9" t="s">
        <v>162</v>
      </c>
      <c r="D334" s="9" t="s">
        <v>163</v>
      </c>
      <c r="F334" s="9" t="s">
        <v>164</v>
      </c>
      <c r="H334" s="9" t="s">
        <v>165</v>
      </c>
    </row>
    <row r="335" spans="1:8">
      <c r="A335" s="1" t="s">
        <v>353</v>
      </c>
      <c r="B335" s="7">
        <v>3</v>
      </c>
      <c r="D335" s="7" cm="1">
        <f t="array" ref="D335">(Traps!E18)</f>
        <v>0</v>
      </c>
      <c r="F335" s="17" cm="1">
        <f t="array" ref="F335">FN.DEV((Traps!E18), Check!$B$335:$B$335)</f>
        <v>0</v>
      </c>
      <c r="H335" s="18" cm="1" t="str">
        <f t="array" ref="H335">_xlfn.BYROW(FN.DEV((Traps!E18), Check!$B$335:$B$335), _xlfn.LAMBDA(_xlpm.dev_row, IF(MAX(_xlpm.dev_row) &lt;= CHK.Tol, "PASS", "FAIL")))</f>
        <v/>
      </c>
    </row>
    <row r="338" spans="1:8">
      <c r="A338" s="9" t="s">
        <v>354</v>
      </c>
      <c r="B338" s="1" t="s">
        <v>160</v>
      </c>
      <c r="C338" s="17" cm="1">
        <f t="array" ref="C338">MAX(FN.DEV((Traps!E19), Check!$B$340:$B$340))</f>
        <v>0</v>
      </c>
      <c r="D338" s="18" cm="1" t="str">
        <f t="array" ref="D338">IF(MAX(FN.DEV((Traps!E19), Check!$B$340:$B$340)) &lt;= CHK.Tol, "PASS", "FAIL")</f>
        <v/>
      </c>
    </row>
    <row r="339" spans="1:8">
      <c r="A339" s="9" t="s">
        <v>161</v>
      </c>
      <c r="B339" s="9" t="s">
        <v>162</v>
      </c>
      <c r="D339" s="9" t="s">
        <v>163</v>
      </c>
      <c r="F339" s="9" t="s">
        <v>164</v>
      </c>
      <c r="H339" s="9" t="s">
        <v>165</v>
      </c>
    </row>
    <row r="340" spans="1:8">
      <c r="A340" s="1" t="s">
        <v>355</v>
      </c>
      <c r="B340" s="7">
        <v>2</v>
      </c>
      <c r="D340" s="7" cm="1">
        <f t="array" ref="D340">(Traps!E19)</f>
        <v>0</v>
      </c>
      <c r="F340" s="17" cm="1">
        <f t="array" ref="F340">FN.DEV((Traps!E19), Check!$B$340:$B$340)</f>
        <v>0</v>
      </c>
      <c r="H340" s="18" cm="1" t="str">
        <f t="array" ref="H340">_xlfn.BYROW(FN.DEV((Traps!E19), Check!$B$340:$B$340), _xlfn.LAMBDA(_xlpm.dev_row, IF(MAX(_xlpm.dev_row) &lt;= CHK.Tol, "PASS", "FAIL")))</f>
        <v/>
      </c>
    </row>
    <row r="343" spans="1:8">
      <c r="A343" s="9" t="s">
        <v>356</v>
      </c>
      <c r="B343" s="1" t="s">
        <v>160</v>
      </c>
      <c r="C343" s="17" cm="1">
        <f t="array" ref="C343">MAX(FN.DEV((Traps!E20), Check!$B$345:$B$345))</f>
        <v>0</v>
      </c>
      <c r="D343" s="18" cm="1" t="str">
        <f t="array" ref="D343">IF(MAX(FN.DEV((Traps!E20), Check!$B$345:$B$345)) &lt;= CHK.Tol, "PASS", "FAIL")</f>
        <v/>
      </c>
    </row>
    <row r="344" spans="1:8">
      <c r="A344" s="9" t="s">
        <v>161</v>
      </c>
      <c r="B344" s="9" t="s">
        <v>162</v>
      </c>
      <c r="D344" s="9" t="s">
        <v>163</v>
      </c>
      <c r="F344" s="9" t="s">
        <v>164</v>
      </c>
      <c r="H344" s="9" t="s">
        <v>165</v>
      </c>
    </row>
    <row r="345" spans="1:8">
      <c r="A345" s="1" t="s">
        <v>357</v>
      </c>
      <c r="B345" s="7">
        <v>0</v>
      </c>
      <c r="D345" s="7" cm="1">
        <f t="array" ref="D345">(Traps!E20)</f>
        <v>0</v>
      </c>
      <c r="F345" s="17" cm="1">
        <f t="array" ref="F345">FN.DEV((Traps!E20), Check!$B$345:$B$345)</f>
        <v>0</v>
      </c>
      <c r="H345" s="18" cm="1" t="str">
        <f t="array" ref="H345">_xlfn.BYROW(FN.DEV((Traps!E20), Check!$B$345:$B$345), _xlfn.LAMBDA(_xlpm.dev_row, IF(MAX(_xlpm.dev_row) &lt;= CHK.Tol, "PASS", "FAIL")))</f>
        <v/>
      </c>
    </row>
    <row r="348" spans="1:8">
      <c r="A348" s="9" t="s">
        <v>358</v>
      </c>
      <c r="B348" s="1" t="s">
        <v>160</v>
      </c>
      <c r="C348" s="17" cm="1">
        <f t="array" ref="C348">MAX(IF(EXACT((_xlfn.VSTACK(SUBSTITUTE(Primer!$H$2, " ", ""), SUBSTITUTE(Primer!$H$3, " ", ""), SUBSTITUTE(Primer!$H$6, " ", ""), SUBSTITUTE(Primer!$H$12, " ", ""), SUBSTITUTE(Primer!$H$13, " ", ""), SUBSTITUTE(Primer!$H$14, " ", ""), SUBSTITUTE(Primer!$H$18, " ", ""), SUBSTITUTE(Primer!$H$19, " ", ""), SUBSTITUTE(Primer!$H$20, " ", ""), SUBSTITUTE(Primer!$H$21, " ", ""), SUBSTITUTE(Primer!$H$25, " ", ""), SUBSTITUTE(Primer!$H$30, " ", ""), SUBSTITUTE(Primer!$H$37, " ", ""), SUBSTITUTE(Primer!$H$41, " ", ""), SUBSTITUTE(Primer!$H$45, " ", ""))), Check!$B$350:$B$364), 0, 1E+99))</f>
        <v>0</v>
      </c>
      <c r="D348" s="18" cm="1" t="str">
        <f t="array" ref="D348">IF(MAX(IF(EXACT((_xlfn.VSTACK(SUBSTITUTE(Primer!$H$2, " ", ""), SUBSTITUTE(Primer!$H$3, " ", ""), SUBSTITUTE(Primer!$H$6, " ", ""), SUBSTITUTE(Primer!$H$12, " ", ""), SUBSTITUTE(Primer!$H$13, " ", ""), SUBSTITUTE(Primer!$H$14, " ", ""), SUBSTITUTE(Primer!$H$18, " ", ""), SUBSTITUTE(Primer!$H$19, " ", ""), SUBSTITUTE(Primer!$H$20, " ", ""), SUBSTITUTE(Primer!$H$21, " ", ""), SUBSTITUTE(Primer!$H$25, " ", ""), SUBSTITUTE(Primer!$H$30, " ", ""), SUBSTITUTE(Primer!$H$37, " ", ""), SUBSTITUTE(Primer!$H$41, " ", ""), SUBSTITUTE(Primer!$H$45, " ", ""))), Check!$B$350:$B$364), 0, 1E+99)) &lt;= CHK.Tol, "PASS", "FAIL")</f>
        <v/>
      </c>
    </row>
    <row r="349" spans="1:8">
      <c r="A349" s="9" t="s">
        <v>161</v>
      </c>
      <c r="B349" s="9" t="s">
        <v>162</v>
      </c>
      <c r="D349" s="9" t="s">
        <v>163</v>
      </c>
      <c r="F349" s="9" t="s">
        <v>164</v>
      </c>
      <c r="H349" s="9" t="s">
        <v>165</v>
      </c>
    </row>
    <row r="350" spans="1:8">
      <c r="A350" s="1" t="s">
        <v>359</v>
      </c>
      <c r="B350" s="1" t="s">
        <v>167</v>
      </c>
      <c r="D350" s="1" cm="1">
        <f t="array" ref="D350:D364">(_xlfn.VSTACK(SUBSTITUTE(Primer!$H$2, " ", ""), SUBSTITUTE(Primer!$H$3, " ", ""), SUBSTITUTE(Primer!$H$6, " ", ""), SUBSTITUTE(Primer!$H$12, " ", ""), SUBSTITUTE(Primer!$H$13, " ", ""), SUBSTITUTE(Primer!$H$14, " ", ""), SUBSTITUTE(Primer!$H$18, " ", ""), SUBSTITUTE(Primer!$H$19, " ", ""), SUBSTITUTE(Primer!$H$20, " ", ""), SUBSTITUTE(Primer!$H$21, " ", ""), SUBSTITUTE(Primer!$H$25, " ", ""), SUBSTITUTE(Primer!$H$30, " ", ""), SUBSTITUTE(Primer!$H$37, " ", ""), SUBSTITUTE(Primer!$H$41, " ", ""), SUBSTITUTE(Primer!$H$45, " ", "")))</f>
        <v>0</v>
      </c>
      <c r="F350" s="17" cm="1">
        <f t="array" ref="F350:F364">IF(EXACT((_xlfn.VSTACK(SUBSTITUTE(Primer!$H$2, " ", ""), SUBSTITUTE(Primer!$H$3, " ", ""), SUBSTITUTE(Primer!$H$6, " ", ""), SUBSTITUTE(Primer!$H$12, " ", ""), SUBSTITUTE(Primer!$H$13, " ", ""), SUBSTITUTE(Primer!$H$14, " ", ""), SUBSTITUTE(Primer!$H$18, " ", ""), SUBSTITUTE(Primer!$H$19, " ", ""), SUBSTITUTE(Primer!$H$20, " ", ""), SUBSTITUTE(Primer!$H$21, " ", ""), SUBSTITUTE(Primer!$H$25, " ", ""), SUBSTITUTE(Primer!$H$30, " ", ""), SUBSTITUTE(Primer!$H$37, " ", ""), SUBSTITUTE(Primer!$H$41, " ", ""), SUBSTITUTE(Primer!$H$45, " ", ""))), Check!$B$350:$B$364), 0, 1E+99)</f>
        <v>0</v>
      </c>
      <c r="H350" s="18" cm="1" t="str">
        <f t="array" ref="H350:H364">_xlfn.BYROW(IF(EXACT((_xlfn.VSTACK(SUBSTITUTE(Primer!$H$2, " ", ""), SUBSTITUTE(Primer!$H$3, " ", ""), SUBSTITUTE(Primer!$H$6, " ", ""), SUBSTITUTE(Primer!$H$12, " ", ""), SUBSTITUTE(Primer!$H$13, " ", ""), SUBSTITUTE(Primer!$H$14, " ", ""), SUBSTITUTE(Primer!$H$18, " ", ""), SUBSTITUTE(Primer!$H$19, " ", ""), SUBSTITUTE(Primer!$H$20, " ", ""), SUBSTITUTE(Primer!$H$21, " ", ""), SUBSTITUTE(Primer!$H$25, " ", ""), SUBSTITUTE(Primer!$H$30, " ", ""), SUBSTITUTE(Primer!$H$37, " ", ""), SUBSTITUTE(Primer!$H$41, " ", ""), SUBSTITUTE(Primer!$H$45, " ", ""))), Check!$B$350:$B$364), 0, 1E+99), _xlfn.LAMBDA(_xlpm.dev_row, IF(MAX(_xlpm.dev_row) &lt;= CHK.Tol, "PASS", "FAIL")))</f>
        <v/>
      </c>
    </row>
    <row r="351" spans="1:8">
      <c r="A351" s="1" t="s">
        <v>360</v>
      </c>
      <c r="B351" s="1" t="s">
        <v>169</v>
      </c>
      <c r="D351" s="1">
        <v>0</v>
      </c>
      <c r="F351" s="17">
        <v>0</v>
      </c>
      <c r="H351" s="18">
        <v>0</v>
      </c>
    </row>
    <row r="352" spans="1:8">
      <c r="A352" s="1" t="s">
        <v>361</v>
      </c>
      <c r="B352" s="1" t="s">
        <v>177</v>
      </c>
      <c r="D352" s="1">
        <v>0</v>
      </c>
      <c r="F352" s="17">
        <v>0</v>
      </c>
      <c r="H352" s="18">
        <v>0</v>
      </c>
    </row>
    <row r="353" spans="1:8">
      <c r="A353" s="1" t="s">
        <v>362</v>
      </c>
      <c r="B353" s="1" t="s">
        <v>171</v>
      </c>
      <c r="D353" s="1">
        <v>0</v>
      </c>
      <c r="F353" s="17">
        <v>0</v>
      </c>
      <c r="H353" s="18">
        <v>0</v>
      </c>
    </row>
    <row r="354" spans="1:8">
      <c r="A354" s="1" t="s">
        <v>363</v>
      </c>
      <c r="B354" s="1" t="s">
        <v>173</v>
      </c>
      <c r="D354" s="1">
        <v>0</v>
      </c>
      <c r="F354" s="17">
        <v>0</v>
      </c>
      <c r="H354" s="18">
        <v>0</v>
      </c>
    </row>
    <row r="355" spans="1:8">
      <c r="A355" s="1" t="s">
        <v>364</v>
      </c>
      <c r="B355" s="1" t="s">
        <v>175</v>
      </c>
      <c r="D355" s="1">
        <v>0</v>
      </c>
      <c r="F355" s="17">
        <v>0</v>
      </c>
      <c r="H355" s="18">
        <v>0</v>
      </c>
    </row>
    <row r="356" spans="1:8">
      <c r="A356" s="1" t="s">
        <v>365</v>
      </c>
      <c r="B356" s="1" t="s">
        <v>366</v>
      </c>
      <c r="D356" s="1">
        <v>0</v>
      </c>
      <c r="F356" s="17">
        <v>0</v>
      </c>
      <c r="H356" s="18">
        <v>0</v>
      </c>
    </row>
    <row r="357" spans="1:8">
      <c r="A357" s="1" t="s">
        <v>367</v>
      </c>
      <c r="B357" s="1" t="s">
        <v>368</v>
      </c>
      <c r="D357" s="1">
        <v>0</v>
      </c>
      <c r="F357" s="17">
        <v>0</v>
      </c>
      <c r="H357" s="18">
        <v>0</v>
      </c>
    </row>
    <row r="358" spans="1:8">
      <c r="A358" s="1" t="s">
        <v>369</v>
      </c>
      <c r="B358" s="1" t="s">
        <v>370</v>
      </c>
      <c r="D358" s="1">
        <v>0</v>
      </c>
      <c r="F358" s="17">
        <v>0</v>
      </c>
      <c r="H358" s="18">
        <v>0</v>
      </c>
    </row>
    <row r="359" spans="1:8">
      <c r="A359" s="1" t="s">
        <v>371</v>
      </c>
      <c r="B359" s="1" t="s">
        <v>372</v>
      </c>
      <c r="D359" s="1">
        <v>0</v>
      </c>
      <c r="F359" s="17">
        <v>0</v>
      </c>
      <c r="H359" s="18">
        <v>0</v>
      </c>
    </row>
    <row r="360" spans="1:8">
      <c r="A360" s="1" t="s">
        <v>373</v>
      </c>
      <c r="B360" s="1" t="s">
        <v>374</v>
      </c>
      <c r="D360" s="1">
        <v>0</v>
      </c>
      <c r="F360" s="17">
        <v>0</v>
      </c>
      <c r="H360" s="18">
        <v>0</v>
      </c>
    </row>
    <row r="361" spans="1:8">
      <c r="A361" s="1" t="s">
        <v>375</v>
      </c>
      <c r="B361" s="1" t="s">
        <v>376</v>
      </c>
      <c r="D361" s="1">
        <v>0</v>
      </c>
      <c r="F361" s="17">
        <v>0</v>
      </c>
      <c r="H361" s="18">
        <v>0</v>
      </c>
    </row>
    <row r="362" spans="1:8">
      <c r="A362" s="1" t="s">
        <v>377</v>
      </c>
      <c r="B362" s="1" t="s">
        <v>378</v>
      </c>
      <c r="D362" s="1">
        <v>0</v>
      </c>
      <c r="F362" s="17">
        <v>0</v>
      </c>
      <c r="H362" s="18">
        <v>0</v>
      </c>
    </row>
    <row r="363" spans="1:8">
      <c r="A363" s="1" t="s">
        <v>379</v>
      </c>
      <c r="B363" s="1" t="s">
        <v>380</v>
      </c>
      <c r="D363" s="1">
        <v>0</v>
      </c>
      <c r="F363" s="17">
        <v>0</v>
      </c>
      <c r="H363" s="18">
        <v>0</v>
      </c>
    </row>
    <row r="364" spans="1:8">
      <c r="A364" s="1" t="s">
        <v>381</v>
      </c>
      <c r="B364" s="1" t="s">
        <v>382</v>
      </c>
      <c r="D364" s="1">
        <v>0</v>
      </c>
      <c r="F364" s="17">
        <v>0</v>
      </c>
      <c r="H364" s="18">
        <v>0</v>
      </c>
    </row>
    <row r="367" spans="1:8">
      <c r="A367" s="9" t="s">
        <v>383</v>
      </c>
      <c r="B367" s="1" t="s">
        <v>160</v>
      </c>
      <c r="C367" s="17" cm="1">
        <f t="array" ref="C367">MAX(IF(EXACT((_xlfn.VSTACK(SUBSTITUTE('0 Tables'!$G$12, " ", ""), SUBSTITUTE('0 Tables'!$G$16, " ", ""))), Check!$B$369:$B$370), 0, 1E+99))</f>
        <v>0</v>
      </c>
      <c r="D367" s="18" cm="1" t="str">
        <f t="array" ref="D367">IF(MAX(IF(EXACT((_xlfn.VSTACK(SUBSTITUTE('0 Tables'!$G$12, " ", ""), SUBSTITUTE('0 Tables'!$G$16, " ", ""))), Check!$B$369:$B$370), 0, 1E+99)) &lt;= CHK.Tol, "PASS", "FAIL")</f>
        <v/>
      </c>
    </row>
    <row r="368" spans="1:8">
      <c r="A368" s="9" t="s">
        <v>161</v>
      </c>
      <c r="B368" s="9" t="s">
        <v>162</v>
      </c>
      <c r="D368" s="9" t="s">
        <v>163</v>
      </c>
      <c r="F368" s="9" t="s">
        <v>164</v>
      </c>
      <c r="H368" s="9" t="s">
        <v>165</v>
      </c>
    </row>
    <row r="369" spans="1:8">
      <c r="A369" s="1" t="s">
        <v>384</v>
      </c>
      <c r="B369" s="1" t="s">
        <v>42</v>
      </c>
      <c r="D369" s="1" cm="1">
        <f t="array" ref="D369:D370">(_xlfn.VSTACK(SUBSTITUTE('0 Tables'!$G$12, " ", ""), SUBSTITUTE('0 Tables'!$G$16, " ", "")))</f>
        <v>0</v>
      </c>
      <c r="F369" s="17" cm="1">
        <f t="array" ref="F369:F370">IF(EXACT((_xlfn.VSTACK(SUBSTITUTE('0 Tables'!$G$12, " ", ""), SUBSTITUTE('0 Tables'!$G$16, " ", ""))), Check!$B$369:$B$370), 0, 1E+99)</f>
        <v>0</v>
      </c>
      <c r="H369" s="18" cm="1" t="str">
        <f t="array" ref="H369:H370">_xlfn.BYROW(IF(EXACT((_xlfn.VSTACK(SUBSTITUTE('0 Tables'!$G$12, " ", ""), SUBSTITUTE('0 Tables'!$G$16, " ", ""))), Check!$B$369:$B$370), 0, 1E+99), _xlfn.LAMBDA(_xlpm.dev_row, IF(MAX(_xlpm.dev_row) &lt;= CHK.Tol, "PASS", "FAIL")))</f>
        <v/>
      </c>
    </row>
    <row r="370" spans="1:8">
      <c r="A370" s="1" t="s">
        <v>385</v>
      </c>
      <c r="B370" s="1" t="s">
        <v>43</v>
      </c>
      <c r="D370" s="1">
        <v>0</v>
      </c>
      <c r="F370" s="17">
        <v>0</v>
      </c>
      <c r="H370" s="18">
        <v>0</v>
      </c>
    </row>
    <row r="373" spans="1:8">
      <c r="A373" s="9" t="s">
        <v>386</v>
      </c>
      <c r="B373" s="1" t="s">
        <v>160</v>
      </c>
      <c r="C373" s="17" cm="1">
        <f t="array" ref="C373">MAX(IF(EXACT((_xlfn.VSTACK(SUBSTITUTE('1 Timeline'!$I$7, " ", ""), SUBSTITUTE('1 Timeline'!$I$9, " ", ""), SUBSTITUTE('1 Timeline'!$I$11, " ", ""), SUBSTITUTE('1 Timeline'!$I$13, " ", ""))), Check!$B$375:$B$378), 0, 1E+99))</f>
        <v>0</v>
      </c>
      <c r="D373" s="18" cm="1" t="str">
        <f t="array" ref="D373">IF(MAX(IF(EXACT((_xlfn.VSTACK(SUBSTITUTE('1 Timeline'!$I$7, " ", ""), SUBSTITUTE('1 Timeline'!$I$9, " ", ""), SUBSTITUTE('1 Timeline'!$I$11, " ", ""), SUBSTITUTE('1 Timeline'!$I$13, " ", ""))), Check!$B$375:$B$378), 0, 1E+99)) &lt;= CHK.Tol, "PASS", "FAIL")</f>
        <v/>
      </c>
    </row>
    <row r="374" spans="1:8">
      <c r="A374" s="9" t="s">
        <v>161</v>
      </c>
      <c r="B374" s="9" t="s">
        <v>162</v>
      </c>
      <c r="D374" s="9" t="s">
        <v>163</v>
      </c>
      <c r="F374" s="9" t="s">
        <v>164</v>
      </c>
      <c r="H374" s="9" t="s">
        <v>165</v>
      </c>
    </row>
    <row r="375" spans="1:8">
      <c r="A375" s="1" t="s">
        <v>387</v>
      </c>
      <c r="B375" s="1" t="s">
        <v>179</v>
      </c>
      <c r="D375" s="1" cm="1">
        <f t="array" ref="D375:D378">(_xlfn.VSTACK(SUBSTITUTE('1 Timeline'!$I$7, " ", ""), SUBSTITUTE('1 Timeline'!$I$9, " ", ""), SUBSTITUTE('1 Timeline'!$I$11, " ", ""), SUBSTITUTE('1 Timeline'!$I$13, " ", "")))</f>
        <v>0</v>
      </c>
      <c r="F375" s="17" cm="1">
        <f t="array" ref="F375:F378">IF(EXACT((_xlfn.VSTACK(SUBSTITUTE('1 Timeline'!$I$7, " ", ""), SUBSTITUTE('1 Timeline'!$I$9, " ", ""), SUBSTITUTE('1 Timeline'!$I$11, " ", ""), SUBSTITUTE('1 Timeline'!$I$13, " ", ""))), Check!$B$375:$B$378), 0, 1E+99)</f>
        <v>0</v>
      </c>
      <c r="H375" s="18" cm="1" t="str">
        <f t="array" ref="H375:H378">_xlfn.BYROW(IF(EXACT((_xlfn.VSTACK(SUBSTITUTE('1 Timeline'!$I$7, " ", ""), SUBSTITUTE('1 Timeline'!$I$9, " ", ""), SUBSTITUTE('1 Timeline'!$I$11, " ", ""), SUBSTITUTE('1 Timeline'!$I$13, " ", ""))), Check!$B$375:$B$378), 0, 1E+99), _xlfn.LAMBDA(_xlpm.dev_row, IF(MAX(_xlpm.dev_row) &lt;= CHK.Tol, "PASS", "FAIL")))</f>
        <v/>
      </c>
    </row>
    <row r="376" spans="1:8">
      <c r="A376" s="1" t="s">
        <v>388</v>
      </c>
      <c r="B376" s="1" t="s">
        <v>389</v>
      </c>
      <c r="D376" s="1">
        <v>0</v>
      </c>
      <c r="F376" s="17">
        <v>0</v>
      </c>
      <c r="H376" s="18">
        <v>0</v>
      </c>
    </row>
    <row r="377" spans="1:8">
      <c r="A377" s="1" t="s">
        <v>390</v>
      </c>
      <c r="B377" s="1" t="s">
        <v>391</v>
      </c>
      <c r="D377" s="1">
        <v>0</v>
      </c>
      <c r="F377" s="17">
        <v>0</v>
      </c>
      <c r="H377" s="18">
        <v>0</v>
      </c>
    </row>
    <row r="378" spans="1:8">
      <c r="A378" s="1" t="s">
        <v>392</v>
      </c>
      <c r="B378" s="1" t="s">
        <v>393</v>
      </c>
      <c r="D378" s="1">
        <v>0</v>
      </c>
      <c r="F378" s="17">
        <v>0</v>
      </c>
      <c r="H378" s="18">
        <v>0</v>
      </c>
    </row>
    <row r="381" spans="1:8">
      <c r="A381" s="9" t="s">
        <v>394</v>
      </c>
      <c r="B381" s="1" t="s">
        <v>160</v>
      </c>
      <c r="C381" s="17" cm="1">
        <f t="array" ref="C381">MAX(IF(EXACT((_xlfn.VSTACK(SUBSTITUTE('2 Spill'!$I$10, " ", ""), SUBSTITUTE('2 Spill'!$I$14, " ", ""), SUBSTITUTE('2 Spill'!$I$18, " ", ""), SUBSTITUTE('2 Spill'!$I$22, " ", ""), SUBSTITUTE('2 Spill'!$I$26, " ", ""), SUBSTITUTE('2 Spill'!$I$30, " ", ""))), Check!$B$383:$B$388), 0, 1E+99))</f>
        <v>0</v>
      </c>
      <c r="D381" s="18" cm="1" t="str">
        <f t="array" ref="D381">IF(MAX(IF(EXACT((_xlfn.VSTACK(SUBSTITUTE('2 Spill'!$I$10, " ", ""), SUBSTITUTE('2 Spill'!$I$14, " ", ""), SUBSTITUTE('2 Spill'!$I$18, " ", ""), SUBSTITUTE('2 Spill'!$I$22, " ", ""), SUBSTITUTE('2 Spill'!$I$26, " ", ""), SUBSTITUTE('2 Spill'!$I$30, " ", ""))), Check!$B$383:$B$388), 0, 1E+99)) &lt;= CHK.Tol, "PASS", "FAIL")</f>
        <v/>
      </c>
    </row>
    <row r="382" spans="1:8">
      <c r="A382" s="9" t="s">
        <v>161</v>
      </c>
      <c r="B382" s="9" t="s">
        <v>162</v>
      </c>
      <c r="D382" s="9" t="s">
        <v>163</v>
      </c>
      <c r="F382" s="9" t="s">
        <v>164</v>
      </c>
      <c r="H382" s="9" t="s">
        <v>165</v>
      </c>
    </row>
    <row r="383" spans="1:8">
      <c r="A383" s="1" t="s">
        <v>395</v>
      </c>
      <c r="B383" s="1" t="s">
        <v>181</v>
      </c>
      <c r="D383" s="1" cm="1">
        <f t="array" ref="D383:D388">(_xlfn.VSTACK(SUBSTITUTE('2 Spill'!$I$10, " ", ""), SUBSTITUTE('2 Spill'!$I$14, " ", ""), SUBSTITUTE('2 Spill'!$I$18, " ", ""), SUBSTITUTE('2 Spill'!$I$22, " ", ""), SUBSTITUTE('2 Spill'!$I$26, " ", ""), SUBSTITUTE('2 Spill'!$I$30, " ", "")))</f>
        <v>0</v>
      </c>
      <c r="F383" s="17" cm="1">
        <f t="array" ref="F383:F388">IF(EXACT((_xlfn.VSTACK(SUBSTITUTE('2 Spill'!$I$10, " ", ""), SUBSTITUTE('2 Spill'!$I$14, " ", ""), SUBSTITUTE('2 Spill'!$I$18, " ", ""), SUBSTITUTE('2 Spill'!$I$22, " ", ""), SUBSTITUTE('2 Spill'!$I$26, " ", ""), SUBSTITUTE('2 Spill'!$I$30, " ", ""))), Check!$B$383:$B$388), 0, 1E+99)</f>
        <v>0</v>
      </c>
      <c r="H383" s="18" cm="1" t="str">
        <f t="array" ref="H383:H388">_xlfn.BYROW(IF(EXACT((_xlfn.VSTACK(SUBSTITUTE('2 Spill'!$I$10, " ", ""), SUBSTITUTE('2 Spill'!$I$14, " ", ""), SUBSTITUTE('2 Spill'!$I$18, " ", ""), SUBSTITUTE('2 Spill'!$I$22, " ", ""), SUBSTITUTE('2 Spill'!$I$26, " ", ""), SUBSTITUTE('2 Spill'!$I$30, " ", ""))), Check!$B$383:$B$388), 0, 1E+99), _xlfn.LAMBDA(_xlpm.dev_row, IF(MAX(_xlpm.dev_row) &lt;= CHK.Tol, "PASS", "FAIL")))</f>
        <v/>
      </c>
    </row>
    <row r="384" spans="1:8">
      <c r="A384" s="1" t="s">
        <v>396</v>
      </c>
      <c r="B384" s="1" t="s">
        <v>397</v>
      </c>
      <c r="D384" s="1">
        <v>0</v>
      </c>
      <c r="F384" s="17">
        <v>0</v>
      </c>
      <c r="H384" s="18">
        <v>0</v>
      </c>
    </row>
    <row r="385" spans="1:8">
      <c r="A385" s="1" t="s">
        <v>398</v>
      </c>
      <c r="B385" s="1" t="s">
        <v>183</v>
      </c>
      <c r="D385" s="1">
        <v>0</v>
      </c>
      <c r="F385" s="17">
        <v>0</v>
      </c>
      <c r="H385" s="18">
        <v>0</v>
      </c>
    </row>
    <row r="386" spans="1:8">
      <c r="A386" s="1" t="s">
        <v>399</v>
      </c>
      <c r="B386" s="1" t="s">
        <v>400</v>
      </c>
      <c r="D386" s="1">
        <v>0</v>
      </c>
      <c r="F386" s="17">
        <v>0</v>
      </c>
      <c r="H386" s="18">
        <v>0</v>
      </c>
    </row>
    <row r="387" spans="1:8">
      <c r="A387" s="1" t="s">
        <v>401</v>
      </c>
      <c r="B387" s="1" t="s">
        <v>185</v>
      </c>
      <c r="D387" s="1">
        <v>0</v>
      </c>
      <c r="F387" s="17">
        <v>0</v>
      </c>
      <c r="H387" s="18">
        <v>0</v>
      </c>
    </row>
    <row r="388" spans="1:8">
      <c r="A388" s="1" t="s">
        <v>402</v>
      </c>
      <c r="B388" s="1" t="s">
        <v>403</v>
      </c>
      <c r="D388" s="1">
        <v>0</v>
      </c>
      <c r="F388" s="17">
        <v>0</v>
      </c>
      <c r="H388" s="18">
        <v>0</v>
      </c>
    </row>
    <row r="391" spans="1:8">
      <c r="A391" s="9" t="s">
        <v>404</v>
      </c>
      <c r="B391" s="1" t="s">
        <v>160</v>
      </c>
      <c r="C391" s="17" cm="1">
        <f t="array" ref="C391">MAX(IF(EXACT((_xlfn.VSTACK(SUBSTITUTE('3 LAMBDA'!$I$5, " ", ""), SUBSTITUTE('3 LAMBDA'!$I$9, " ", ""))), Check!$B$393:$B$394), 0, 1E+99))</f>
        <v>0</v>
      </c>
      <c r="D391" s="18" cm="1" t="str">
        <f t="array" ref="D391">IF(MAX(IF(EXACT((_xlfn.VSTACK(SUBSTITUTE('3 LAMBDA'!$I$5, " ", ""), SUBSTITUTE('3 LAMBDA'!$I$9, " ", ""))), Check!$B$393:$B$394), 0, 1E+99)) &lt;= CHK.Tol, "PASS", "FAIL")</f>
        <v/>
      </c>
    </row>
    <row r="392" spans="1:8">
      <c r="A392" s="9" t="s">
        <v>161</v>
      </c>
      <c r="B392" s="9" t="s">
        <v>162</v>
      </c>
      <c r="D392" s="9" t="s">
        <v>163</v>
      </c>
      <c r="F392" s="9" t="s">
        <v>164</v>
      </c>
      <c r="H392" s="9" t="s">
        <v>165</v>
      </c>
    </row>
    <row r="393" spans="1:8">
      <c r="A393" s="1" t="s">
        <v>405</v>
      </c>
      <c r="B393" s="1" t="s">
        <v>187</v>
      </c>
      <c r="D393" s="1" cm="1">
        <f t="array" ref="D393:D394">(_xlfn.VSTACK(SUBSTITUTE('3 LAMBDA'!$I$5, " ", ""), SUBSTITUTE('3 LAMBDA'!$I$9, " ", "")))</f>
        <v>0</v>
      </c>
      <c r="F393" s="17" cm="1">
        <f t="array" ref="F393:F394">IF(EXACT((_xlfn.VSTACK(SUBSTITUTE('3 LAMBDA'!$I$5, " ", ""), SUBSTITUTE('3 LAMBDA'!$I$9, " ", ""))), Check!$B$393:$B$394), 0, 1E+99)</f>
        <v>0</v>
      </c>
      <c r="H393" s="18" cm="1" t="str">
        <f t="array" ref="H393:H394">_xlfn.BYROW(IF(EXACT((_xlfn.VSTACK(SUBSTITUTE('3 LAMBDA'!$I$5, " ", ""), SUBSTITUTE('3 LAMBDA'!$I$9, " ", ""))), Check!$B$393:$B$394), 0, 1E+99), _xlfn.LAMBDA(_xlpm.dev_row, IF(MAX(_xlpm.dev_row) &lt;= CHK.Tol, "PASS", "FAIL")))</f>
        <v/>
      </c>
    </row>
    <row r="394" spans="1:8">
      <c r="A394" s="1" t="s">
        <v>406</v>
      </c>
      <c r="B394" s="1" t="s">
        <v>407</v>
      </c>
      <c r="D394" s="1">
        <v>0</v>
      </c>
      <c r="F394" s="17">
        <v>0</v>
      </c>
      <c r="H394" s="18">
        <v>0</v>
      </c>
    </row>
    <row r="397" spans="1:8">
      <c r="A397" s="9" t="s">
        <v>408</v>
      </c>
      <c r="B397" s="1" t="s">
        <v>160</v>
      </c>
      <c r="C397" s="17" cm="1">
        <f t="array" ref="C397">MAX(IF(EXACT((_xlfn.VSTACK(SUBSTITUTE('4 Recurrence'!$I$7, " ", ""), SUBSTITUTE('4 Recurrence'!$I$10, " ", ""), SUBSTITUTE('4 Recurrence'!$I$11, " ", ""), SUBSTITUTE('4 Recurrence'!$I$12, " ", ""), SUBSTITUTE('4 Recurrence'!$I$16, " ", ""), SUBSTITUTE('4 Recurrence'!$I$17, " ", ""), SUBSTITUTE('4 Recurrence'!$I$18, " ", ""))), Check!$B$399:$B$405), 0, 1E+99))</f>
        <v>0</v>
      </c>
      <c r="D397" s="18" cm="1" t="str">
        <f t="array" ref="D397">IF(MAX(IF(EXACT((_xlfn.VSTACK(SUBSTITUTE('4 Recurrence'!$I$7, " ", ""), SUBSTITUTE('4 Recurrence'!$I$10, " ", ""), SUBSTITUTE('4 Recurrence'!$I$11, " ", ""), SUBSTITUTE('4 Recurrence'!$I$12, " ", ""), SUBSTITUTE('4 Recurrence'!$I$16, " ", ""), SUBSTITUTE('4 Recurrence'!$I$17, " ", ""), SUBSTITUTE('4 Recurrence'!$I$18, " ", ""))), Check!$B$399:$B$405), 0, 1E+99)) &lt;= CHK.Tol, "PASS", "FAIL")</f>
        <v/>
      </c>
    </row>
    <row r="398" spans="1:8">
      <c r="A398" s="9" t="s">
        <v>161</v>
      </c>
      <c r="B398" s="9" t="s">
        <v>162</v>
      </c>
      <c r="D398" s="9" t="s">
        <v>163</v>
      </c>
      <c r="F398" s="9" t="s">
        <v>164</v>
      </c>
      <c r="H398" s="9" t="s">
        <v>165</v>
      </c>
    </row>
    <row r="399" spans="1:8">
      <c r="A399" s="1" t="s">
        <v>409</v>
      </c>
      <c r="B399" s="1" t="s">
        <v>189</v>
      </c>
      <c r="D399" s="1" cm="1">
        <f t="array" ref="D399:D405">(_xlfn.VSTACK(SUBSTITUTE('4 Recurrence'!$I$7, " ", ""), SUBSTITUTE('4 Recurrence'!$I$10, " ", ""), SUBSTITUTE('4 Recurrence'!$I$11, " ", ""), SUBSTITUTE('4 Recurrence'!$I$12, " ", ""), SUBSTITUTE('4 Recurrence'!$I$16, " ", ""), SUBSTITUTE('4 Recurrence'!$I$17, " ", ""), SUBSTITUTE('4 Recurrence'!$I$18, " ", "")))</f>
        <v>0</v>
      </c>
      <c r="F399" s="17" cm="1">
        <f t="array" ref="F399:F405">IF(EXACT((_xlfn.VSTACK(SUBSTITUTE('4 Recurrence'!$I$7, " ", ""), SUBSTITUTE('4 Recurrence'!$I$10, " ", ""), SUBSTITUTE('4 Recurrence'!$I$11, " ", ""), SUBSTITUTE('4 Recurrence'!$I$12, " ", ""), SUBSTITUTE('4 Recurrence'!$I$16, " ", ""), SUBSTITUTE('4 Recurrence'!$I$17, " ", ""), SUBSTITUTE('4 Recurrence'!$I$18, " ", ""))), Check!$B$399:$B$405), 0, 1E+99)</f>
        <v>0</v>
      </c>
      <c r="H399" s="18" cm="1" t="str">
        <f t="array" ref="H399:H405">_xlfn.BYROW(IF(EXACT((_xlfn.VSTACK(SUBSTITUTE('4 Recurrence'!$I$7, " ", ""), SUBSTITUTE('4 Recurrence'!$I$10, " ", ""), SUBSTITUTE('4 Recurrence'!$I$11, " ", ""), SUBSTITUTE('4 Recurrence'!$I$12, " ", ""), SUBSTITUTE('4 Recurrence'!$I$16, " ", ""), SUBSTITUTE('4 Recurrence'!$I$17, " ", ""), SUBSTITUTE('4 Recurrence'!$I$18, " ", ""))), Check!$B$399:$B$405), 0, 1E+99), _xlfn.LAMBDA(_xlpm.dev_row, IF(MAX(_xlpm.dev_row) &lt;= CHK.Tol, "PASS", "FAIL")))</f>
        <v/>
      </c>
    </row>
    <row r="400" spans="1:8">
      <c r="A400" s="1" t="s">
        <v>410</v>
      </c>
      <c r="B400" s="1" t="s">
        <v>411</v>
      </c>
      <c r="D400" s="1">
        <v>0</v>
      </c>
      <c r="F400" s="17">
        <v>0</v>
      </c>
      <c r="H400" s="18">
        <v>0</v>
      </c>
    </row>
    <row r="401" spans="1:8">
      <c r="A401" s="1" t="s">
        <v>412</v>
      </c>
      <c r="B401" s="1" t="s">
        <v>413</v>
      </c>
      <c r="D401" s="1">
        <v>0</v>
      </c>
      <c r="F401" s="17">
        <v>0</v>
      </c>
      <c r="H401" s="18">
        <v>0</v>
      </c>
    </row>
    <row r="402" spans="1:8">
      <c r="A402" s="1" t="s">
        <v>414</v>
      </c>
      <c r="B402" s="1" t="s">
        <v>415</v>
      </c>
      <c r="D402" s="1">
        <v>0</v>
      </c>
      <c r="F402" s="17">
        <v>0</v>
      </c>
      <c r="H402" s="18">
        <v>0</v>
      </c>
    </row>
    <row r="403" spans="1:8">
      <c r="A403" s="1" t="s">
        <v>416</v>
      </c>
      <c r="B403" s="1" t="s">
        <v>191</v>
      </c>
      <c r="D403" s="1">
        <v>0</v>
      </c>
      <c r="F403" s="17">
        <v>0</v>
      </c>
      <c r="H403" s="18">
        <v>0</v>
      </c>
    </row>
    <row r="404" spans="1:8">
      <c r="A404" s="1" t="s">
        <v>417</v>
      </c>
      <c r="B404" s="1" t="s">
        <v>418</v>
      </c>
      <c r="D404" s="1">
        <v>0</v>
      </c>
      <c r="F404" s="17">
        <v>0</v>
      </c>
      <c r="H404" s="18">
        <v>0</v>
      </c>
    </row>
    <row r="405" spans="1:8">
      <c r="A405" s="1" t="s">
        <v>419</v>
      </c>
      <c r="B405" s="1" t="s">
        <v>420</v>
      </c>
      <c r="D405" s="1">
        <v>0</v>
      </c>
      <c r="F405" s="17">
        <v>0</v>
      </c>
      <c r="H405" s="18">
        <v>0</v>
      </c>
    </row>
    <row r="408" spans="1:8">
      <c r="A408" s="9" t="s">
        <v>421</v>
      </c>
      <c r="B408" s="1" t="s">
        <v>160</v>
      </c>
      <c r="C408" s="17" cm="1">
        <f t="array" ref="C408">MAX(IF(EXACT((_xlfn.VSTACK(SUBSTITUTE('5 Fixed point'!$K$11, " ", ""), SUBSTITUTE('5 Fixed point'!$K$13, " ", ""), SUBSTITUTE('5 Fixed point'!$K$14, " ", ""), SUBSTITUTE('5 Fixed point'!$K$15, " ", ""), SUBSTITUTE('5 Fixed point'!$K$16, " ", ""), SUBSTITUTE('5 Fixed point'!$K$17, " ", ""), SUBSTITUTE('5 Fixed point'!$K$19, " ", ""), SUBSTITUTE('5 Fixed point'!$K$20, " ", ""))), Check!$B$410:$B$417), 0, 1E+99))</f>
        <v>0</v>
      </c>
      <c r="D408" s="18" cm="1" t="str">
        <f t="array" ref="D408">IF(MAX(IF(EXACT((_xlfn.VSTACK(SUBSTITUTE('5 Fixed point'!$K$11, " ", ""), SUBSTITUTE('5 Fixed point'!$K$13, " ", ""), SUBSTITUTE('5 Fixed point'!$K$14, " ", ""), SUBSTITUTE('5 Fixed point'!$K$15, " ", ""), SUBSTITUTE('5 Fixed point'!$K$16, " ", ""), SUBSTITUTE('5 Fixed point'!$K$17, " ", ""), SUBSTITUTE('5 Fixed point'!$K$19, " ", ""), SUBSTITUTE('5 Fixed point'!$K$20, " ", ""))), Check!$B$410:$B$417), 0, 1E+99)) &lt;= CHK.Tol, "PASS", "FAIL")</f>
        <v/>
      </c>
    </row>
    <row r="409" spans="1:8">
      <c r="A409" s="9" t="s">
        <v>161</v>
      </c>
      <c r="B409" s="9" t="s">
        <v>162</v>
      </c>
      <c r="D409" s="9" t="s">
        <v>163</v>
      </c>
      <c r="F409" s="9" t="s">
        <v>164</v>
      </c>
      <c r="H409" s="9" t="s">
        <v>165</v>
      </c>
    </row>
    <row r="410" spans="1:8">
      <c r="A410" s="1" t="s">
        <v>422</v>
      </c>
      <c r="B410" s="1" t="s">
        <v>423</v>
      </c>
      <c r="D410" s="1" cm="1">
        <f t="array" ref="D410:D417">(_xlfn.VSTACK(SUBSTITUTE('5 Fixed point'!$K$11, " ", ""), SUBSTITUTE('5 Fixed point'!$K$13, " ", ""), SUBSTITUTE('5 Fixed point'!$K$14, " ", ""), SUBSTITUTE('5 Fixed point'!$K$15, " ", ""), SUBSTITUTE('5 Fixed point'!$K$16, " ", ""), SUBSTITUTE('5 Fixed point'!$K$17, " ", ""), SUBSTITUTE('5 Fixed point'!$K$19, " ", ""), SUBSTITUTE('5 Fixed point'!$K$20, " ", "")))</f>
        <v>0</v>
      </c>
      <c r="F410" s="17" cm="1">
        <f t="array" ref="F410:F417">IF(EXACT((_xlfn.VSTACK(SUBSTITUTE('5 Fixed point'!$K$11, " ", ""), SUBSTITUTE('5 Fixed point'!$K$13, " ", ""), SUBSTITUTE('5 Fixed point'!$K$14, " ", ""), SUBSTITUTE('5 Fixed point'!$K$15, " ", ""), SUBSTITUTE('5 Fixed point'!$K$16, " ", ""), SUBSTITUTE('5 Fixed point'!$K$17, " ", ""), SUBSTITUTE('5 Fixed point'!$K$19, " ", ""), SUBSTITUTE('5 Fixed point'!$K$20, " ", ""))), Check!$B$410:$B$417), 0, 1E+99)</f>
        <v>0</v>
      </c>
      <c r="H410" s="18" cm="1" t="str">
        <f t="array" ref="H410:H417">_xlfn.BYROW(IF(EXACT((_xlfn.VSTACK(SUBSTITUTE('5 Fixed point'!$K$11, " ", ""), SUBSTITUTE('5 Fixed point'!$K$13, " ", ""), SUBSTITUTE('5 Fixed point'!$K$14, " ", ""), SUBSTITUTE('5 Fixed point'!$K$15, " ", ""), SUBSTITUTE('5 Fixed point'!$K$16, " ", ""), SUBSTITUTE('5 Fixed point'!$K$17, " ", ""), SUBSTITUTE('5 Fixed point'!$K$19, " ", ""), SUBSTITUTE('5 Fixed point'!$K$20, " ", ""))), Check!$B$410:$B$417), 0, 1E+99), _xlfn.LAMBDA(_xlpm.dev_row, IF(MAX(_xlpm.dev_row) &lt;= CHK.Tol, "PASS", "FAIL")))</f>
        <v/>
      </c>
    </row>
    <row r="411" spans="1:8">
      <c r="A411" s="1" t="s">
        <v>424</v>
      </c>
      <c r="B411" s="1" t="s">
        <v>425</v>
      </c>
      <c r="D411" s="1">
        <v>0</v>
      </c>
      <c r="F411" s="17">
        <v>0</v>
      </c>
      <c r="H411" s="18">
        <v>0</v>
      </c>
    </row>
    <row r="412" spans="1:8">
      <c r="A412" s="1" t="s">
        <v>426</v>
      </c>
      <c r="B412" s="1" t="s">
        <v>427</v>
      </c>
      <c r="D412" s="1">
        <v>0</v>
      </c>
      <c r="F412" s="17">
        <v>0</v>
      </c>
      <c r="H412" s="18">
        <v>0</v>
      </c>
    </row>
    <row r="413" spans="1:8">
      <c r="A413" s="1" t="s">
        <v>428</v>
      </c>
      <c r="B413" s="1" t="s">
        <v>429</v>
      </c>
      <c r="D413" s="1">
        <v>0</v>
      </c>
      <c r="F413" s="17">
        <v>0</v>
      </c>
      <c r="H413" s="18">
        <v>0</v>
      </c>
    </row>
    <row r="414" spans="1:8">
      <c r="A414" s="1" t="s">
        <v>430</v>
      </c>
      <c r="B414" s="1" t="s">
        <v>431</v>
      </c>
      <c r="D414" s="1">
        <v>0</v>
      </c>
      <c r="F414" s="17">
        <v>0</v>
      </c>
      <c r="H414" s="18">
        <v>0</v>
      </c>
    </row>
    <row r="415" spans="1:8">
      <c r="A415" s="1" t="s">
        <v>432</v>
      </c>
      <c r="B415" s="1" t="s">
        <v>433</v>
      </c>
      <c r="D415" s="1">
        <v>0</v>
      </c>
      <c r="F415" s="17">
        <v>0</v>
      </c>
      <c r="H415" s="18">
        <v>0</v>
      </c>
    </row>
    <row r="416" spans="1:8">
      <c r="A416" s="1" t="s">
        <v>434</v>
      </c>
      <c r="B416" s="1" t="s">
        <v>435</v>
      </c>
      <c r="D416" s="1">
        <v>0</v>
      </c>
      <c r="F416" s="17">
        <v>0</v>
      </c>
      <c r="H416" s="18">
        <v>0</v>
      </c>
    </row>
    <row r="417" spans="1:8">
      <c r="A417" s="1" t="s">
        <v>436</v>
      </c>
      <c r="B417" s="1" t="s">
        <v>437</v>
      </c>
      <c r="D417" s="1">
        <v>0</v>
      </c>
      <c r="F417" s="17">
        <v>0</v>
      </c>
      <c r="H417" s="18">
        <v>0</v>
      </c>
    </row>
    <row r="420" spans="1:8">
      <c r="A420" s="9" t="s">
        <v>438</v>
      </c>
      <c r="B420" s="1" t="s">
        <v>160</v>
      </c>
      <c r="C420" s="17" cm="1">
        <f t="array" ref="C420">MAX(IF(EXACT((_xlfn.VSTACK(SUBSTITUTE('6 Scenarios'!$I$6, " ", ""), SUBSTITUTE('6 Scenarios'!$I$10, " ", ""), SUBSTITUTE('6 Scenarios'!$I$15, " ", ""), SUBSTITUTE('6 Scenarios'!$I$19, " ", ""))), Check!$B$422:$B$425), 0, 1E+99))</f>
        <v>0</v>
      </c>
      <c r="D420" s="18" cm="1" t="str">
        <f t="array" ref="D420">IF(MAX(IF(EXACT((_xlfn.VSTACK(SUBSTITUTE('6 Scenarios'!$I$6, " ", ""), SUBSTITUTE('6 Scenarios'!$I$10, " ", ""), SUBSTITUTE('6 Scenarios'!$I$15, " ", ""), SUBSTITUTE('6 Scenarios'!$I$19, " ", ""))), Check!$B$422:$B$425), 0, 1E+99)) &lt;= CHK.Tol, "PASS", "FAIL")</f>
        <v/>
      </c>
    </row>
    <row r="421" spans="1:8">
      <c r="A421" s="9" t="s">
        <v>161</v>
      </c>
      <c r="B421" s="9" t="s">
        <v>162</v>
      </c>
      <c r="D421" s="9" t="s">
        <v>163</v>
      </c>
      <c r="F421" s="9" t="s">
        <v>164</v>
      </c>
      <c r="H421" s="9" t="s">
        <v>165</v>
      </c>
    </row>
    <row r="422" spans="1:8">
      <c r="A422" s="1" t="s">
        <v>439</v>
      </c>
      <c r="B422" s="1" t="s">
        <v>440</v>
      </c>
      <c r="D422" s="1" cm="1">
        <f t="array" ref="D422:D425">(_xlfn.VSTACK(SUBSTITUTE('6 Scenarios'!$I$6, " ", ""), SUBSTITUTE('6 Scenarios'!$I$10, " ", ""), SUBSTITUTE('6 Scenarios'!$I$15, " ", ""), SUBSTITUTE('6 Scenarios'!$I$19, " ", "")))</f>
        <v>0</v>
      </c>
      <c r="F422" s="17" cm="1">
        <f t="array" ref="F422:F425">IF(EXACT((_xlfn.VSTACK(SUBSTITUTE('6 Scenarios'!$I$6, " ", ""), SUBSTITUTE('6 Scenarios'!$I$10, " ", ""), SUBSTITUTE('6 Scenarios'!$I$15, " ", ""), SUBSTITUTE('6 Scenarios'!$I$19, " ", ""))), Check!$B$422:$B$425), 0, 1E+99)</f>
        <v>0</v>
      </c>
      <c r="H422" s="18" cm="1" t="str">
        <f t="array" ref="H422:H425">_xlfn.BYROW(IF(EXACT((_xlfn.VSTACK(SUBSTITUTE('6 Scenarios'!$I$6, " ", ""), SUBSTITUTE('6 Scenarios'!$I$10, " ", ""), SUBSTITUTE('6 Scenarios'!$I$15, " ", ""), SUBSTITUTE('6 Scenarios'!$I$19, " ", ""))), Check!$B$422:$B$425), 0, 1E+99), _xlfn.LAMBDA(_xlpm.dev_row, IF(MAX(_xlpm.dev_row) &lt;= CHK.Tol, "PASS", "FAIL")))</f>
        <v/>
      </c>
    </row>
    <row r="423" spans="1:8">
      <c r="A423" s="1" t="s">
        <v>441</v>
      </c>
      <c r="B423" s="1" t="s">
        <v>442</v>
      </c>
      <c r="D423" s="1">
        <v>0</v>
      </c>
      <c r="F423" s="17">
        <v>0</v>
      </c>
      <c r="H423" s="18">
        <v>0</v>
      </c>
    </row>
    <row r="424" spans="1:8">
      <c r="A424" s="1" t="s">
        <v>443</v>
      </c>
      <c r="B424" s="1" t="s">
        <v>444</v>
      </c>
      <c r="D424" s="1">
        <v>0</v>
      </c>
      <c r="F424" s="17">
        <v>0</v>
      </c>
      <c r="H424" s="18">
        <v>0</v>
      </c>
    </row>
    <row r="425" spans="1:8">
      <c r="A425" s="1" t="s">
        <v>445</v>
      </c>
      <c r="B425" s="1" t="s">
        <v>446</v>
      </c>
      <c r="D425" s="1">
        <v>0</v>
      </c>
      <c r="F425" s="17">
        <v>0</v>
      </c>
      <c r="H425" s="18">
        <v>0</v>
      </c>
    </row>
    <row r="428" spans="1:8">
      <c r="A428" s="9" t="s">
        <v>447</v>
      </c>
      <c r="B428" s="1" t="s">
        <v>160</v>
      </c>
      <c r="C428" s="17" cm="1">
        <f t="array" ref="C428">MAX(IF(EXACT((_xlfn.VSTACK(SUBSTITUTE('8 Audit'!$I$5, " ", ""), SUBSTITUTE('8 Audit'!$I$8, " ", ""), SUBSTITUTE('8 Audit'!$I$9, " ", ""), SUBSTITUTE('8 Audit'!$I$10, " ", ""), SUBSTITUTE('8 Audit'!$I$11, " ", ""), SUBSTITUTE('8 Audit'!$I$12, " ", ""), SUBSTITUTE('8 Audit'!$I$13, " ", ""))), Check!$B$430:$B$436), 0, 1E+99))</f>
        <v>0</v>
      </c>
      <c r="D428" s="18" cm="1" t="str">
        <f t="array" ref="D428">IF(MAX(IF(EXACT((_xlfn.VSTACK(SUBSTITUTE('8 Audit'!$I$5, " ", ""), SUBSTITUTE('8 Audit'!$I$8, " ", ""), SUBSTITUTE('8 Audit'!$I$9, " ", ""), SUBSTITUTE('8 Audit'!$I$10, " ", ""), SUBSTITUTE('8 Audit'!$I$11, " ", ""), SUBSTITUTE('8 Audit'!$I$12, " ", ""), SUBSTITUTE('8 Audit'!$I$13, " ", ""))), Check!$B$430:$B$436), 0, 1E+99)) &lt;= CHK.Tol, "PASS", "FAIL")</f>
        <v/>
      </c>
    </row>
    <row r="429" spans="1:8">
      <c r="A429" s="9" t="s">
        <v>161</v>
      </c>
      <c r="B429" s="9" t="s">
        <v>162</v>
      </c>
      <c r="D429" s="9" t="s">
        <v>163</v>
      </c>
      <c r="F429" s="9" t="s">
        <v>164</v>
      </c>
      <c r="H429" s="9" t="s">
        <v>165</v>
      </c>
    </row>
    <row r="430" spans="1:8">
      <c r="A430" s="1" t="s">
        <v>448</v>
      </c>
      <c r="B430" s="1" t="s">
        <v>449</v>
      </c>
      <c r="D430" s="1" cm="1">
        <f t="array" ref="D430:D436">(_xlfn.VSTACK(SUBSTITUTE('8 Audit'!$I$5, " ", ""), SUBSTITUTE('8 Audit'!$I$8, " ", ""), SUBSTITUTE('8 Audit'!$I$9, " ", ""), SUBSTITUTE('8 Audit'!$I$10, " ", ""), SUBSTITUTE('8 Audit'!$I$11, " ", ""), SUBSTITUTE('8 Audit'!$I$12, " ", ""), SUBSTITUTE('8 Audit'!$I$13, " ", "")))</f>
        <v>0</v>
      </c>
      <c r="F430" s="17" cm="1">
        <f t="array" ref="F430:F436">IF(EXACT((_xlfn.VSTACK(SUBSTITUTE('8 Audit'!$I$5, " ", ""), SUBSTITUTE('8 Audit'!$I$8, " ", ""), SUBSTITUTE('8 Audit'!$I$9, " ", ""), SUBSTITUTE('8 Audit'!$I$10, " ", ""), SUBSTITUTE('8 Audit'!$I$11, " ", ""), SUBSTITUTE('8 Audit'!$I$12, " ", ""), SUBSTITUTE('8 Audit'!$I$13, " ", ""))), Check!$B$430:$B$436), 0, 1E+99)</f>
        <v>0</v>
      </c>
      <c r="H430" s="18" cm="1" t="str">
        <f t="array" ref="H430:H436">_xlfn.BYROW(IF(EXACT((_xlfn.VSTACK(SUBSTITUTE('8 Audit'!$I$5, " ", ""), SUBSTITUTE('8 Audit'!$I$8, " ", ""), SUBSTITUTE('8 Audit'!$I$9, " ", ""), SUBSTITUTE('8 Audit'!$I$10, " ", ""), SUBSTITUTE('8 Audit'!$I$11, " ", ""), SUBSTITUTE('8 Audit'!$I$12, " ", ""), SUBSTITUTE('8 Audit'!$I$13, " ", ""))), Check!$B$430:$B$436), 0, 1E+99), _xlfn.LAMBDA(_xlpm.dev_row, IF(MAX(_xlpm.dev_row) &lt;= CHK.Tol, "PASS", "FAIL")))</f>
        <v/>
      </c>
    </row>
    <row r="431" spans="1:8">
      <c r="A431" s="1" t="s">
        <v>450</v>
      </c>
      <c r="B431" s="1" t="s">
        <v>451</v>
      </c>
      <c r="D431" s="1">
        <v>0</v>
      </c>
      <c r="F431" s="17">
        <v>0</v>
      </c>
      <c r="H431" s="18">
        <v>0</v>
      </c>
    </row>
    <row r="432" spans="1:8">
      <c r="A432" s="1" t="s">
        <v>452</v>
      </c>
      <c r="B432" s="1" t="s">
        <v>453</v>
      </c>
      <c r="D432" s="1">
        <v>0</v>
      </c>
      <c r="F432" s="17">
        <v>0</v>
      </c>
      <c r="H432" s="18">
        <v>0</v>
      </c>
    </row>
    <row r="433" spans="1:8">
      <c r="A433" s="1" t="s">
        <v>454</v>
      </c>
      <c r="B433" s="1" t="s">
        <v>455</v>
      </c>
      <c r="D433" s="1">
        <v>0</v>
      </c>
      <c r="F433" s="17">
        <v>0</v>
      </c>
      <c r="H433" s="18">
        <v>0</v>
      </c>
    </row>
    <row r="434" spans="1:8">
      <c r="A434" s="1" t="s">
        <v>456</v>
      </c>
      <c r="B434" s="1" t="s">
        <v>457</v>
      </c>
      <c r="D434" s="1">
        <v>0</v>
      </c>
      <c r="F434" s="17">
        <v>0</v>
      </c>
      <c r="H434" s="18">
        <v>0</v>
      </c>
    </row>
    <row r="435" spans="1:8">
      <c r="A435" s="1" t="s">
        <v>458</v>
      </c>
      <c r="B435" s="1" t="s">
        <v>459</v>
      </c>
      <c r="D435" s="1">
        <v>0</v>
      </c>
      <c r="F435" s="17">
        <v>0</v>
      </c>
      <c r="H435" s="18">
        <v>0</v>
      </c>
    </row>
    <row r="436" spans="1:8">
      <c r="A436" s="1" t="s">
        <v>460</v>
      </c>
      <c r="B436" s="1" t="s">
        <v>461</v>
      </c>
      <c r="D436" s="1">
        <v>0</v>
      </c>
      <c r="F436" s="17">
        <v>0</v>
      </c>
      <c r="H436" s="18">
        <v>0</v>
      </c>
    </row>
    <row r="439" spans="1:8">
      <c r="A439" s="9" t="s">
        <v>462</v>
      </c>
      <c r="B439" s="1" t="s">
        <v>160</v>
      </c>
      <c r="C439" s="17" cm="1">
        <f t="array" ref="C439">MAX(IF(EXACT((_xlfn.VSTACK(SUBSTITUTE(Traps!$I$8, " ", ""), SUBSTITUTE(Traps!$I$9, " ", ""), SUBSTITUTE(Traps!$I$13, " ", ""), SUBSTITUTE(Traps!$I$16, " ", ""), SUBSTITUTE(Traps!$I$17, " ", ""), SUBSTITUTE(Traps!$I$18, " ", ""), SUBSTITUTE(Traps!$I$19, " ", ""))), Check!$B$441:$B$447), 0, 1E+99))</f>
        <v>0</v>
      </c>
      <c r="D439" s="18" cm="1" t="str">
        <f t="array" ref="D439">IF(MAX(IF(EXACT((_xlfn.VSTACK(SUBSTITUTE(Traps!$I$8, " ", ""), SUBSTITUTE(Traps!$I$9, " ", ""), SUBSTITUTE(Traps!$I$13, " ", ""), SUBSTITUTE(Traps!$I$16, " ", ""), SUBSTITUTE(Traps!$I$17, " ", ""), SUBSTITUTE(Traps!$I$18, " ", ""), SUBSTITUTE(Traps!$I$19, " ", ""))), Check!$B$441:$B$447), 0, 1E+99)) &lt;= CHK.Tol, "PASS", "FAIL")</f>
        <v/>
      </c>
    </row>
    <row r="440" spans="1:8">
      <c r="A440" s="9" t="s">
        <v>161</v>
      </c>
      <c r="B440" s="9" t="s">
        <v>162</v>
      </c>
      <c r="D440" s="9" t="s">
        <v>163</v>
      </c>
      <c r="F440" s="9" t="s">
        <v>164</v>
      </c>
      <c r="H440" s="9" t="s">
        <v>165</v>
      </c>
    </row>
    <row r="441" spans="1:8">
      <c r="A441" s="1" t="s">
        <v>463</v>
      </c>
      <c r="B441" s="1" t="s">
        <v>464</v>
      </c>
      <c r="D441" s="1" cm="1">
        <f t="array" ref="D441:D447">(_xlfn.VSTACK(SUBSTITUTE(Traps!$I$8, " ", ""), SUBSTITUTE(Traps!$I$9, " ", ""), SUBSTITUTE(Traps!$I$13, " ", ""), SUBSTITUTE(Traps!$I$16, " ", ""), SUBSTITUTE(Traps!$I$17, " ", ""), SUBSTITUTE(Traps!$I$18, " ", ""), SUBSTITUTE(Traps!$I$19, " ", "")))</f>
        <v>0</v>
      </c>
      <c r="F441" s="17" cm="1">
        <f t="array" ref="F441:F447">IF(EXACT((_xlfn.VSTACK(SUBSTITUTE(Traps!$I$8, " ", ""), SUBSTITUTE(Traps!$I$9, " ", ""), SUBSTITUTE(Traps!$I$13, " ", ""), SUBSTITUTE(Traps!$I$16, " ", ""), SUBSTITUTE(Traps!$I$17, " ", ""), SUBSTITUTE(Traps!$I$18, " ", ""), SUBSTITUTE(Traps!$I$19, " ", ""))), Check!$B$441:$B$447), 0, 1E+99)</f>
        <v>0</v>
      </c>
      <c r="H441" s="18" cm="1" t="str">
        <f t="array" ref="H441:H447">_xlfn.BYROW(IF(EXACT((_xlfn.VSTACK(SUBSTITUTE(Traps!$I$8, " ", ""), SUBSTITUTE(Traps!$I$9, " ", ""), SUBSTITUTE(Traps!$I$13, " ", ""), SUBSTITUTE(Traps!$I$16, " ", ""), SUBSTITUTE(Traps!$I$17, " ", ""), SUBSTITUTE(Traps!$I$18, " ", ""), SUBSTITUTE(Traps!$I$19, " ", ""))), Check!$B$441:$B$447), 0, 1E+99), _xlfn.LAMBDA(_xlpm.dev_row, IF(MAX(_xlpm.dev_row) &lt;= CHK.Tol, "PASS", "FAIL")))</f>
        <v/>
      </c>
    </row>
    <row r="442" spans="1:8">
      <c r="A442" s="1" t="s">
        <v>465</v>
      </c>
      <c r="B442" s="1" t="s">
        <v>466</v>
      </c>
      <c r="D442" s="1">
        <v>0</v>
      </c>
      <c r="F442" s="17">
        <v>0</v>
      </c>
      <c r="H442" s="18">
        <v>0</v>
      </c>
    </row>
    <row r="443" spans="1:8">
      <c r="A443" s="1" t="s">
        <v>467</v>
      </c>
      <c r="B443" s="1" t="s">
        <v>468</v>
      </c>
      <c r="D443" s="1">
        <v>0</v>
      </c>
      <c r="F443" s="17">
        <v>0</v>
      </c>
      <c r="H443" s="18">
        <v>0</v>
      </c>
    </row>
    <row r="444" spans="1:8">
      <c r="A444" s="1" t="s">
        <v>469</v>
      </c>
      <c r="B444" s="1" t="s">
        <v>470</v>
      </c>
      <c r="D444" s="1">
        <v>0</v>
      </c>
      <c r="F444" s="17">
        <v>0</v>
      </c>
      <c r="H444" s="18">
        <v>0</v>
      </c>
    </row>
    <row r="445" spans="1:8">
      <c r="A445" s="1" t="s">
        <v>471</v>
      </c>
      <c r="B445" s="1" t="s">
        <v>472</v>
      </c>
      <c r="D445" s="1">
        <v>0</v>
      </c>
      <c r="F445" s="17">
        <v>0</v>
      </c>
      <c r="H445" s="18">
        <v>0</v>
      </c>
    </row>
    <row r="446" spans="1:8">
      <c r="A446" s="1" t="s">
        <v>473</v>
      </c>
      <c r="B446" s="1" t="s">
        <v>474</v>
      </c>
      <c r="D446" s="1">
        <v>0</v>
      </c>
      <c r="F446" s="17">
        <v>0</v>
      </c>
      <c r="H446" s="18">
        <v>0</v>
      </c>
    </row>
    <row r="447" spans="1:8">
      <c r="A447" s="1" t="s">
        <v>475</v>
      </c>
      <c r="B447" s="1" t="s">
        <v>476</v>
      </c>
      <c r="D447" s="1">
        <v>0</v>
      </c>
      <c r="F447" s="17">
        <v>0</v>
      </c>
      <c r="H447" s="18">
        <v>0</v>
      </c>
    </row>
    <row r="450" spans="1:6">
      <c r="A450" s="9" t="s">
        <v>480</v>
      </c>
    </row>
    <row r="451" spans="1:6">
      <c r="A451" s="1" t="s">
        <v>481</v>
      </c>
      <c r="B451" s="17" cm="1">
        <f t="array" ref="B451:F451">FN.DEV(_xlfn.HSTACK(1, 1, _xlfn.DROP(_xlfn.EXPAND(0, 1, 2), 0, 1), 0, _xlfn.DROP(_xlfn.EXPAND(0, 1, 2), 0, 1)), _xlfn.HSTACK(1, 1.5, _xlfn.DROP(_xlfn.EXPAND(0, 1, 2), 0, 1), _xlfn.DROP(_xlfn.EXPAND(0, 1, 2), 0, 1), 0))</f>
        <v>0</v>
      </c>
      <c r="C451" s="17">
        <v>0</v>
      </c>
      <c r="D451" s="17">
        <v>0</v>
      </c>
      <c r="E451" s="17">
        <v>0</v>
      </c>
      <c r="F451" s="17">
        <v>0</v>
      </c>
    </row>
    <row r="452" spans="1:6">
      <c r="A452" s="1" t="s">
        <v>482</v>
      </c>
      <c r="B452" s="17" cm="1">
        <f t="array" ref="B452:F452">_xlfn.HSTACK(0, 0.5, 0, 1E+99, 1E+99)</f>
        <v>0</v>
      </c>
      <c r="C452" s="17">
        <v>0</v>
      </c>
      <c r="D452" s="17">
        <v>0</v>
      </c>
      <c r="E452" s="17">
        <v>0</v>
      </c>
      <c r="F452" s="17">
        <v>0</v>
      </c>
    </row>
    <row r="453" spans="1:6">
      <c r="A453" s="1" t="s">
        <v>478</v>
      </c>
      <c r="B453" s="18" cm="1" t="str">
        <f t="array" ref="B453">IF(SUM(ABS(FN.DEV(_xlfn.HSTACK(1, 1, _xlfn.DROP(_xlfn.EXPAND(0, 1, 2), 0, 1), 0, _xlfn.DROP(_xlfn.EXPAND(0, 1, 2), 0, 1)), _xlfn.HSTACK(1, 1.5, _xlfn.DROP(_xlfn.EXPAND(0, 1, 2), 0, 1), _xlfn.DROP(_xlfn.EXPAND(0, 1, 2), 0, 1), 0)) - _xlfn.HSTACK(0, 0.5, 0, 1E+99, 1E+99))) = 0, "PASS", "FAIL")</f>
        <v/>
      </c>
    </row>
    <row r="454" spans="1:6">
      <c r="A454" s="8" t="s">
        <v>483</v>
      </c>
    </row>
    <row r="457" spans="1:6">
      <c r="A457" s="9" t="s">
        <v>484</v>
      </c>
      <c r="B457" s="1" t="s">
        <v>485</v>
      </c>
      <c r="C457" s="17" cm="1">
        <f t="array" ref="C457">MAX(ABS(_xlfn.VSTACK(_xlfn.ANCHORARRAY(Primer!B12), _xlfn.ANCHORARRAY(Primer!B13), _xlfn.ANCHORARRAY(Primer!B14)) - _xlfn.ANCHORARRAY(Primer!B3)))</f>
        <v>0</v>
      </c>
      <c r="D457" s="18" cm="1" t="str">
        <f t="array" ref="D457">IF(MAX(ABS(_xlfn.VSTACK(_xlfn.ANCHORARRAY(Primer!B12), _xlfn.ANCHORARRAY(Primer!B13), _xlfn.ANCHORARRAY(Primer!B14)) - _xlfn.ANCHORARRAY(Primer!B3))) &lt;= CHK.Tol, "PASS", "FAIL")</f>
        <v/>
      </c>
    </row>
    <row r="458" spans="1:6">
      <c r="A458" s="8" t="s">
        <v>486</v>
      </c>
    </row>
    <row r="460" spans="1:6">
      <c r="A460" s="9" t="s">
        <v>487</v>
      </c>
      <c r="B460" s="1" t="s">
        <v>485</v>
      </c>
      <c r="C460" s="17" cm="1">
        <f t="array" ref="C460">MAX(ABS(_xlfn.ANCHORARRAY('3 LAMBDA'!C5) - Revenue))</f>
        <v>0</v>
      </c>
      <c r="D460" s="18" cm="1" t="str">
        <f t="array" ref="D460">IF(MAX(ABS(_xlfn.ANCHORARRAY('3 LAMBDA'!C5) - Revenue)) &lt;= CHK.Tol, "PASS", "FAIL")</f>
        <v/>
      </c>
    </row>
    <row r="461" spans="1:6">
      <c r="A461" s="8" t="s">
        <v>488</v>
      </c>
    </row>
    <row r="463" spans="1:6">
      <c r="A463" s="9" t="s">
        <v>489</v>
      </c>
      <c r="B463" s="1" t="s">
        <v>485</v>
      </c>
      <c r="C463" s="17" cm="1">
        <f t="array" ref="C463">MAX(ABS(DebtOpening - Repayments - ClosingDebt))</f>
        <v>0</v>
      </c>
      <c r="D463" s="18" cm="1" t="str">
        <f t="array" ref="D463">IF(MAX(ABS(DebtOpening - Repayments - ClosingDebt)) &lt;= CHK.Tol, "PASS", "FAIL")</f>
        <v/>
      </c>
    </row>
    <row r="464" spans="1:6">
      <c r="A464" s="8" t="s">
        <v>490</v>
      </c>
    </row>
    <row r="466" spans="1:4">
      <c r="A466" s="9" t="s">
        <v>491</v>
      </c>
      <c r="B466" s="1" t="s">
        <v>485</v>
      </c>
      <c r="C466" s="17" cm="1">
        <f t="array" ref="C466">MAX(ABS(ClosingCash - (CashOpening + CashFlow + CashInterest)))</f>
        <v>0</v>
      </c>
      <c r="D466" s="18" cm="1" t="str">
        <f t="array" ref="D466">IF(MAX(ABS(ClosingCash - (CashOpening + CashFlow + CashInterest))) &lt;= CHK.Tol, "PASS", "FAIL")</f>
        <v/>
      </c>
    </row>
    <row r="467" spans="1:4">
      <c r="A467" s="8" t="s">
        <v>492</v>
      </c>
    </row>
    <row r="469" spans="1:4">
      <c r="A469" s="9" t="s">
        <v>493</v>
      </c>
      <c r="B469" s="1" t="s">
        <v>485</v>
      </c>
      <c r="C469" s="17" cm="1">
        <f t="array" ref="C469">MAX(ABS(IF(FixChange &lt;= Tolerance, 0, 1) + IF(FixIterations &lt; IterCap, 0, 1)))</f>
        <v>0</v>
      </c>
      <c r="D469" s="18" cm="1" t="str">
        <f t="array" ref="D469">IF(MAX(ABS(IF(FixChange &lt;= Tolerance, 0, 1) + IF(FixIterations &lt; IterCap, 0, 1))) &lt;= CHK.Tol, "PASS", "FAIL")</f>
        <v/>
      </c>
    </row>
    <row r="470" spans="1:4">
      <c r="A470" s="8" t="s">
        <v>494</v>
      </c>
    </row>
    <row r="472" spans="1:4">
      <c r="A472" s="9" t="s">
        <v>495</v>
      </c>
      <c r="B472" s="1" t="s">
        <v>485</v>
      </c>
      <c r="C472" s="17" cm="1">
        <f t="array" ref="C472">MAX(ABS(_xlfn.VSTACK(Revenue_base - Revenue, EBITDA_base - EBITDA)))</f>
        <v>0</v>
      </c>
      <c r="D472" s="18" cm="1" t="str">
        <f t="array" ref="D472">IF(MAX(ABS(_xlfn.VSTACK(Revenue_base - Revenue, EBITDA_base - EBITDA))) &lt;= CHK.Tol, "PASS", "FAIL")</f>
        <v/>
      </c>
    </row>
    <row r="473" spans="1:4">
      <c r="A473" s="8" t="s">
        <v>496</v>
      </c>
    </row>
    <row r="475" spans="1:4">
      <c r="A475" s="9" t="s">
        <v>497</v>
      </c>
      <c r="B475" s="1" t="s">
        <v>485</v>
      </c>
      <c r="C475" s="17" cm="1">
        <f t="array" ref="C475">MAX(ABS(SUM(_xlfn.CHOOSECOLS(_xlfn.ANCHORARRAY('7 Names'!A6), 2)) - ROWS(NameList[Name])))</f>
        <v>0</v>
      </c>
      <c r="D475" s="18" cm="1" t="str">
        <f t="array" ref="D475">IF(MAX(ABS(SUM(_xlfn.CHOOSECOLS(_xlfn.ANCHORARRAY('7 Names'!A6), 2)) - ROWS(NameList[Name]))) &lt;= CHK.Tol, "PASS", "FAIL")</f>
        <v/>
      </c>
    </row>
    <row r="476" spans="1:4">
      <c r="A476" s="8" t="s">
        <v>498</v>
      </c>
    </row>
    <row r="478" spans="1:4">
      <c r="A478" s="9" t="s">
        <v>499</v>
      </c>
      <c r="B478" s="1" t="s">
        <v>485</v>
      </c>
      <c r="C478" s="17" cm="1">
        <f t="array" ref="C478">MAX(ABS(_xlfn.VSTACK(_xlfn.ANCHORARRAY('8 Audit'!C5) - _xlfn.ANCHORARRAY('8 Audit'!C13), _xlfn.ANCHORARRAY('8 Audit'!C5) - _xlfn.CHOOSEROWS(EBITDA, 1))))</f>
        <v>0</v>
      </c>
      <c r="D478" s="18" cm="1" t="str">
        <f t="array" ref="D478">IF(MAX(ABS(_xlfn.VSTACK(_xlfn.ANCHORARRAY('8 Audit'!C5) - _xlfn.ANCHORARRAY('8 Audit'!C13), _xlfn.ANCHORARRAY('8 Audit'!C5) - _xlfn.CHOOSEROWS(EBITDA, 1)))) &lt;= CHK.Tol, "PASS", "FAIL")</f>
        <v/>
      </c>
    </row>
    <row r="479" spans="1:4">
      <c r="A479" s="8" t="s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28</vt:i4>
      </vt:variant>
    </vt:vector>
  </HeadingPairs>
  <TitlesOfParts>
    <vt:vector size="40" baseType="lpstr">
      <vt:lpstr>Primer</vt:lpstr>
      <vt:lpstr>0 Tables</vt:lpstr>
      <vt:lpstr>1 Timeline</vt:lpstr>
      <vt:lpstr>2 Spill</vt:lpstr>
      <vt:lpstr>3 LAMBDA</vt:lpstr>
      <vt:lpstr>4 Recurrence</vt:lpstr>
      <vt:lpstr>5 Fixed point</vt:lpstr>
      <vt:lpstr>6 Scenarios</vt:lpstr>
      <vt:lpstr>7 Names</vt:lpstr>
      <vt:lpstr>8 Audit</vt:lpstr>
      <vt:lpstr>Traps</vt:lpstr>
      <vt:lpstr>Check</vt:lpstr>
      <vt:lpstr>CashFlow</vt:lpstr>
      <vt:lpstr>CashInterest</vt:lpstr>
      <vt:lpstr>CashOpening</vt:lpstr>
      <vt:lpstr>CashRate</vt:lpstr>
      <vt:lpstr>CHK.Tol</vt:lpstr>
      <vt:lpstr>ClosingDebt</vt:lpstr>
      <vt:lpstr>COGS</vt:lpstr>
      <vt:lpstr>DebtOpening</vt:lpstr>
      <vt:lpstr>EBITDA</vt:lpstr>
      <vt:lpstr>EBITDA_base</vt:lpstr>
      <vt:lpstr>EBITDA_upside</vt:lpstr>
      <vt:lpstr>FixSolver</vt:lpstr>
      <vt:lpstr>Gross</vt:lpstr>
      <vt:lpstr>IterCap</vt:lpstr>
      <vt:lpstr>OpeningCash</vt:lpstr>
      <vt:lpstr>OpeningDebt</vt:lpstr>
      <vt:lpstr>Opex</vt:lpstr>
      <vt:lpstr>PeriodEnd</vt:lpstr>
      <vt:lpstr>Periods</vt:lpstr>
      <vt:lpstr>Repayments</vt:lpstr>
      <vt:lpstr>Revenue</vt:lpstr>
      <vt:lpstr>Revenue_base</vt:lpstr>
      <vt:lpstr>Revenue_upside</vt:lpstr>
      <vt:lpstr>StartDate</vt:lpstr>
      <vt:lpstr>Tolerance</vt:lpstr>
      <vt:lpstr>TrapX</vt:lpstr>
      <vt:lpstr>TrapY</vt:lpstr>
      <vt:lpstr>Years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 layers demo — one sheet per layer of 'Excel got the array'</dc:title>
  <dc:subject>Excel got the array. It did not get the dimension.</dc:subject>
  <dc:creator>The Workbench</dc:creator>
  <dc:description>Demo workbook for the post 'Excel got the array. It did not get the dimension.' Yellow cells are inputs; change them and every sheet recomputes.</dc:description>
  <cp:lastModifiedBy>The Workbench</cp:lastModifiedBy>
  <dcterms:created xsi:type="dcterms:W3CDTF">2026-09-26T00:00:00Z</dcterms:created>
  <dcterms:modified xsi:type="dcterms:W3CDTF">2026-09-26T00:00:00Z</dcterms:modified>
</cp:coreProperties>
</file>