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del" sheetId="1" r:id="rId1"/>
    <sheet name="Assumpt" sheetId="2" r:id="rId2"/>
    <sheet name="LastActuals" sheetId="3" r:id="rId3"/>
    <sheet name="Rates" sheetId="4" r:id="rId4"/>
    <sheet name="SalesCOGS" sheetId="5" r:id="rId5"/>
    <sheet name="FinDebt" sheetId="6" r:id="rId6"/>
    <sheet name="IS" sheetId="7" r:id="rId7"/>
    <sheet name="BS" sheetId="8" r:id="rId8"/>
    <sheet name="FCF" sheetId="9" r:id="rId9"/>
    <sheet name="SCF recursive" sheetId="10" r:id="rId10"/>
    <sheet name="SCF" sheetId="11" r:id="rId11"/>
    <sheet name="Check" sheetId="12" r:id="rId12"/>
  </sheets>
  <definedNames>
    <definedName name="AccountsReceivable_base" localSheetId="7">_xlfn.ANCHORARRAY('BS'!$C$6)</definedName>
    <definedName name="AccountsReceivable_deleverage" localSheetId="7">_xlfn.ANCHORARRAY('BS'!$C$82)</definedName>
    <definedName name="AccountsReceivable_payout" localSheetId="7">_xlfn.ANCHORARRAY('BS'!$C$44)</definedName>
    <definedName name="Administrative_base" localSheetId="6">_xlfn.ANCHORARRAY('IS'!$C$11)</definedName>
    <definedName name="Administrative_deleverage" localSheetId="6">_xlfn.ANCHORARRAY('IS'!$C$49)</definedName>
    <definedName name="Administrative_payout" localSheetId="6">_xlfn.ANCHORARRAY('IS'!$C$30)</definedName>
    <definedName name="AfterTaxCashInterest_base" localSheetId="9">_xlfn.ANCHORARRAY('SCF recursive'!$C$11)</definedName>
    <definedName name="AfterTaxCashInterest_base" localSheetId="10">_xlfn.ANCHORARRAY('SCF'!$C$23)</definedName>
    <definedName name="AfterTaxCashInterest_deleverage" localSheetId="9">_xlfn.ANCHORARRAY('SCF recursive'!$C$81)</definedName>
    <definedName name="AfterTaxCashInterest_deleverage" localSheetId="10">_xlfn.ANCHORARRAY('SCF'!$C$93)</definedName>
    <definedName name="AfterTaxCashInterest_payout" localSheetId="9">_xlfn.ANCHORARRAY('SCF recursive'!$C$46)</definedName>
    <definedName name="AfterTaxCashInterest_payout" localSheetId="10">_xlfn.ANCHORARRAY('SCF'!$C$58)</definedName>
    <definedName name="Assumpt_base" localSheetId="11">_xlfn.VSTACK(tblAssumpt[base], Assumpt!MarketShare_base, Assumpt!AvgSalesPrice_base, Assumpt!RawMatUnitCost_base, Assumpt!DirLabUnitCost_base)</definedName>
    <definedName name="Assumpt_baseExp" localSheetId="11">'Check'!$B$36:$B$66</definedName>
    <definedName name="Assumpt_deleverage" localSheetId="11">_xlfn.VSTACK(tblAssumpt[deleverage], Assumpt!MarketShare_deleverage, Assumpt!AvgSalesPrice_deleverage, Assumpt!RawMatUnitCost_deleverage, Assumpt!DirLabUnitCost_deleverage)</definedName>
    <definedName name="Assumpt_deleverageExp" localSheetId="11">'Check'!$B$488:$B$518</definedName>
    <definedName name="Assumpt_payout" localSheetId="11">_xlfn.VSTACK(tblAssumpt[payout], Assumpt!MarketShare_payout, Assumpt!AvgSalesPrice_payout, Assumpt!RawMatUnitCost_payout, Assumpt!DirLabUnitCost_payout)</definedName>
    <definedName name="Assumpt_payoutExp" localSheetId="11">'Check'!$B$262:$B$292</definedName>
    <definedName name="AvgExcessCash_base" localSheetId="9">_xlfn.ANCHORARRAY('SCF recursive'!$C$21)</definedName>
    <definedName name="AvgExcessCash_base" localSheetId="10">_xlfn.ANCHORARRAY('SCF'!$C$18)</definedName>
    <definedName name="AvgExcessCash_deleverage" localSheetId="9">_xlfn.ANCHORARRAY('SCF recursive'!$C$91)</definedName>
    <definedName name="AvgExcessCash_deleverage" localSheetId="10">_xlfn.ANCHORARRAY('SCF'!$C$88)</definedName>
    <definedName name="AvgExcessCash_payout" localSheetId="9">_xlfn.ANCHORARRAY('SCF recursive'!$C$56)</definedName>
    <definedName name="AvgExcessCash_payout" localSheetId="10">_xlfn.ANCHORARRAY('SCF'!$C$53)</definedName>
    <definedName name="AvgOverdraft_base" localSheetId="9">_xlfn.ANCHORARRAY('SCF recursive'!$C$22)</definedName>
    <definedName name="AvgOverdraft_base" localSheetId="10">_xlfn.ANCHORARRAY('SCF'!$C$20)</definedName>
    <definedName name="AvgOverdraft_deleverage" localSheetId="9">_xlfn.ANCHORARRAY('SCF recursive'!$C$92)</definedName>
    <definedName name="AvgOverdraft_deleverage" localSheetId="10">_xlfn.ANCHORARRAY('SCF'!$C$90)</definedName>
    <definedName name="AvgOverdraft_payout" localSheetId="9">_xlfn.ANCHORARRAY('SCF recursive'!$C$57)</definedName>
    <definedName name="AvgOverdraft_payout" localSheetId="10">_xlfn.ANCHORARRAY('SCF'!$C$55)</definedName>
    <definedName name="AvgSalesPrice" localSheetId="2">'LastActuals'!$C$19</definedName>
    <definedName name="AvgSalesPrice_base" localSheetId="4">_xlfn.ANCHORARRAY('SalesCOGS'!$C$9)</definedName>
    <definedName name="AvgSalesPrice_base" localSheetId="1">'Assumpt'!$C$36</definedName>
    <definedName name="AvgSalesPrice_deleverage" localSheetId="4">_xlfn.ANCHORARRAY('SalesCOGS'!$C$25)</definedName>
    <definedName name="AvgSalesPrice_deleverage" localSheetId="1">'Assumpt'!$E$36</definedName>
    <definedName name="AvgSalesPrice_payout" localSheetId="4">_xlfn.ANCHORARRAY('SalesCOGS'!$C$17)</definedName>
    <definedName name="AvgSalesPrice_payout" localSheetId="1">'Assumpt'!$D$36</definedName>
    <definedName name="BankOverdraft_base" localSheetId="7">_xlfn.ANCHORARRAY('BS'!$C$21)</definedName>
    <definedName name="BankOverdraft_base" localSheetId="9">_xlfn.ANCHORARRAY('SCF recursive'!$C$16)</definedName>
    <definedName name="BankOverdraft_base" localSheetId="10">_xlfn.ANCHORARRAY('SCF'!$C$27)</definedName>
    <definedName name="BankOverdraft_deleverage" localSheetId="7">_xlfn.ANCHORARRAY('BS'!$C$97)</definedName>
    <definedName name="BankOverdraft_deleverage" localSheetId="9">_xlfn.ANCHORARRAY('SCF recursive'!$C$86)</definedName>
    <definedName name="BankOverdraft_deleverage" localSheetId="10">_xlfn.ANCHORARRAY('SCF'!$C$97)</definedName>
    <definedName name="BankOverdraft_payout" localSheetId="7">_xlfn.ANCHORARRAY('BS'!$C$59)</definedName>
    <definedName name="BankOverdraft_payout" localSheetId="9">_xlfn.ANCHORARRAY('SCF recursive'!$C$51)</definedName>
    <definedName name="BankOverdraft_payout" localSheetId="10">_xlfn.ANCHORARRAY('SCF'!$C$62)</definedName>
    <definedName name="BS_base" localSheetId="11">_xlfn.VSTACK(BS!AccountsReceivable_base, BS!RawMaterials_base, BS!FinishedGoods_base, BS!WagesPayable_base, BS!OtherAccountsPayable_base, BS!MinimumOperatingCash_base, BS!NetWorkingCapital_base, BS!CapitalExpenditures_base, BS!Depreciation_base, BS!NetFixedAssets_base, BS!TotalNetOperatingAssets_base, BS!Goodwill_base, BS!ExcessCash_base, BS!TotalAssets_base, BS!FinancialDebt_base, BS!BankOverdraft_base, BS!NetIncome_base, BS!Dividends_base, BS!SaleOrPurchaseOfStock_base, BS!StockholdersEquity_base, BS!TotalLiabilitiesAndEquity_base)</definedName>
    <definedName name="BS_baseExp" localSheetId="11">'Check'!$B$106:$F$126</definedName>
    <definedName name="BS_deleverage" localSheetId="11">_xlfn.VSTACK(BS!AccountsReceivable_deleverage, BS!RawMaterials_deleverage, BS!FinishedGoods_deleverage, BS!WagesPayable_deleverage, BS!OtherAccountsPayable_deleverage, BS!MinimumOperatingCash_deleverage, BS!NetWorkingCapital_deleverage, BS!CapitalExpenditures_deleverage, BS!Depreciation_deleverage, BS!NetFixedAssets_deleverage, BS!TotalNetOperatingAssets_deleverage, BS!Goodwill_deleverage, BS!ExcessCash_deleverage, BS!TotalAssets_deleverage, BS!FinancialDebt_deleverage, BS!BankOverdraft_deleverage, BS!NetIncome_deleverage, BS!Dividends_deleverage, BS!SaleOrPurchaseOfStock_deleverage, BS!StockholdersEquity_deleverage, BS!TotalLiabilitiesAndEquity_deleverage)</definedName>
    <definedName name="BS_deleverageExp" localSheetId="11">'Check'!$B$558:$F$578</definedName>
    <definedName name="BS_payout" localSheetId="11">_xlfn.VSTACK(BS!AccountsReceivable_payout, BS!RawMaterials_payout, BS!FinishedGoods_payout, BS!WagesPayable_payout, BS!OtherAccountsPayable_payout, BS!MinimumOperatingCash_payout, BS!NetWorkingCapital_payout, BS!CapitalExpenditures_payout, BS!Depreciation_payout, BS!NetFixedAssets_payout, BS!TotalNetOperatingAssets_payout, BS!Goodwill_payout, BS!ExcessCash_payout, BS!TotalAssets_payout, BS!FinancialDebt_payout, BS!BankOverdraft_payout, BS!NetIncome_payout, BS!Dividends_payout, BS!SaleOrPurchaseOfStock_payout, BS!StockholdersEquity_payout, BS!TotalLiabilitiesAndEquity_payout)</definedName>
    <definedName name="BS_payoutExp" localSheetId="11">'Check'!$B$332:$F$352</definedName>
    <definedName name="BSdelta_base" localSheetId="11">_xlfn.VSTACK(BS!DeltaNetWorkingCapital_base, BS!DeltaFinancialDebt_base, BS!DeltaNetFixedAssets_base, BS!DeltaMinimumOperatingCash_base, BS!DeltaAccountsReceivable_base, BS!DeltaRawMaterials_base, BS!DeltaFinishedGoods_base, BS!DeltaOtherAccountsPayable_base, BS!DeltaWagesPayable_base)</definedName>
    <definedName name="BSdelta_baseExp" localSheetId="11">'Check'!$B$131:$F$139</definedName>
    <definedName name="BSdelta_deleverage" localSheetId="11">_xlfn.VSTACK(BS!DeltaNetWorkingCapital_deleverage, BS!DeltaFinancialDebt_deleverage, BS!DeltaNetFixedAssets_deleverage, BS!DeltaMinimumOperatingCash_deleverage, BS!DeltaAccountsReceivable_deleverage, BS!DeltaRawMaterials_deleverage, BS!DeltaFinishedGoods_deleverage, BS!DeltaOtherAccountsPayable_deleverage, BS!DeltaWagesPayable_deleverage)</definedName>
    <definedName name="BSdelta_deleverageExp" localSheetId="11">'Check'!$B$583:$F$591</definedName>
    <definedName name="BSdelta_payout" localSheetId="11">_xlfn.VSTACK(BS!DeltaNetWorkingCapital_payout, BS!DeltaFinancialDebt_payout, BS!DeltaNetFixedAssets_payout, BS!DeltaMinimumOperatingCash_payout, BS!DeltaAccountsReceivable_payout, BS!DeltaRawMaterials_payout, BS!DeltaFinishedGoods_payout, BS!DeltaOtherAccountsPayable_payout, BS!DeltaWagesPayable_payout)</definedName>
    <definedName name="BSdelta_payoutExp" localSheetId="11">'Check'!$B$357:$F$365</definedName>
    <definedName name="CapitalExpenditures_base" localSheetId="7">_xlfn.ANCHORARRAY('BS'!$C$13)</definedName>
    <definedName name="CapitalExpenditures_deleverage" localSheetId="7">_xlfn.ANCHORARRAY('BS'!$C$89)</definedName>
    <definedName name="CapitalExpenditures_payout" localSheetId="7">_xlfn.ANCHORARRAY('BS'!$C$51)</definedName>
    <definedName name="CashInterestIncome_base" localSheetId="9">_xlfn.ANCHORARRAY('SCF recursive'!$C$23)</definedName>
    <definedName name="CashInterestIncome_base" localSheetId="10">_xlfn.ANCHORARRAY('SCF'!$C$19)</definedName>
    <definedName name="CashInterestIncome_deleverage" localSheetId="9">_xlfn.ANCHORARRAY('SCF recursive'!$C$93)</definedName>
    <definedName name="CashInterestIncome_deleverage" localSheetId="10">_xlfn.ANCHORARRAY('SCF'!$C$89)</definedName>
    <definedName name="CashInterestIncome_payout" localSheetId="9">_xlfn.ANCHORARRAY('SCF recursive'!$C$58)</definedName>
    <definedName name="CashInterestIncome_payout" localSheetId="10">_xlfn.ANCHORARRAY('SCF'!$C$54)</definedName>
    <definedName name="CashInterestShortfall_base" localSheetId="10">_xlfn.ANCHORARRAY('SCF'!$C$33)</definedName>
    <definedName name="CashInterestShortfall_deleverage" localSheetId="10">_xlfn.ANCHORARRAY('SCF'!$C$103)</definedName>
    <definedName name="CashInterestShortfall_payout" localSheetId="10">_xlfn.ANCHORARRAY('SCF'!$C$68)</definedName>
    <definedName name="CompanySales_base" localSheetId="4">_xlfn.ANCHORARRAY('SalesCOGS'!$C$8)</definedName>
    <definedName name="CompanySales_deleverage" localSheetId="4">_xlfn.ANCHORARRAY('SalesCOGS'!$C$24)</definedName>
    <definedName name="CompanySales_payout" localSheetId="4">_xlfn.ANCHORARRAY('SalesCOGS'!$C$16)</definedName>
    <definedName name="DeadAfterTaxCashInterest_base" localSheetId="8">'FCF'!$C$18:$G$18</definedName>
    <definedName name="DeadAfterTaxCashInterest_deleverage" localSheetId="8">'FCF'!$C$54:$G$54</definedName>
    <definedName name="DeadAfterTaxCashInterest_payout" localSheetId="8">'FCF'!$C$36:$G$36</definedName>
    <definedName name="DeadCashInterestShortfall_base" localSheetId="9">'SCF recursive'!$C$36:$G$36</definedName>
    <definedName name="DeadCashInterestShortfall_deleverage" localSheetId="9">'SCF recursive'!$C$106:$G$106</definedName>
    <definedName name="DeadCashInterestShortfall_payout" localSheetId="9">'SCF recursive'!$C$71:$G$71</definedName>
    <definedName name="DeadDiscretionaryBCI_base" localSheetId="9">'SCF recursive'!$C$33:$G$33</definedName>
    <definedName name="DeadDiscretionaryBCI_deleverage" localSheetId="9">'SCF recursive'!$C$103:$G$103</definedName>
    <definedName name="DeadDiscretionaryBCI_payout" localSheetId="9">'SCF recursive'!$C$68:$G$68</definedName>
    <definedName name="DeadDiscretionaryCashShortfall_base" localSheetId="9">'SCF recursive'!$C$37:$G$37</definedName>
    <definedName name="DeadDiscretionaryCashShortfall_deleverage" localSheetId="9">'SCF recursive'!$C$107:$G$107</definedName>
    <definedName name="DeadDiscretionaryCashShortfall_payout" localSheetId="9">'SCF recursive'!$C$72:$G$72</definedName>
    <definedName name="DeadExcessBCI_base" localSheetId="9">'SCF recursive'!$C$34:$G$34</definedName>
    <definedName name="DeadExcessBCI_deleverage" localSheetId="9">'SCF recursive'!$C$104:$G$104</definedName>
    <definedName name="DeadExcessBCI_payout" localSheetId="9">'SCF recursive'!$C$69:$G$69</definedName>
    <definedName name="DeadExcessPrev_base" localSheetId="10">'SCF'!$C$35:$G$35</definedName>
    <definedName name="DeadExcessPrev_deleverage" localSheetId="10">'SCF'!$C$105:$G$105</definedName>
    <definedName name="DeadExcessPrev_payout" localSheetId="10">'SCF'!$C$70:$G$70</definedName>
    <definedName name="DeadNCFViaIncomeAndBSDelta_base" localSheetId="10">'SCF'!$C$29:$G$29</definedName>
    <definedName name="DeadNCFViaIncomeAndBSDelta_deleverage" localSheetId="10">'SCF'!$C$99:$G$99</definedName>
    <definedName name="DeadNCFViaIncomeAndBSDelta_payout" localSheetId="10">'SCF'!$C$64:$G$64</definedName>
    <definedName name="DeadNetCashPositionBCI_base" localSheetId="9">'SCF recursive'!$C$32:$G$32</definedName>
    <definedName name="DeadNetCashPositionBCI_deleverage" localSheetId="9">'SCF recursive'!$C$102:$G$102</definedName>
    <definedName name="DeadNetCashPositionBCI_payout" localSheetId="9">'SCF recursive'!$C$67:$G$67</definedName>
    <definedName name="DeadOverdraftBCI_base" localSheetId="9">'SCF recursive'!$C$35:$G$35</definedName>
    <definedName name="DeadOverdraftBCI_deleverage" localSheetId="9">'SCF recursive'!$C$105:$G$105</definedName>
    <definedName name="DeadOverdraftBCI_payout" localSheetId="9">'SCF recursive'!$C$70:$G$70</definedName>
    <definedName name="DeadOverdraftPrev_base" localSheetId="10">'SCF'!$C$36:$G$36</definedName>
    <definedName name="DeadOverdraftPrev_deleverage" localSheetId="10">'SCF'!$C$106:$G$106</definedName>
    <definedName name="DeadOverdraftPrev_payout" localSheetId="10">'SCF'!$C$71:$G$71</definedName>
    <definedName name="DeadParityResidualA_base" localSheetId="10">'SCF'!$C$30:$G$30</definedName>
    <definedName name="DeadParityResidualA_deleverage" localSheetId="10">'SCF'!$C$100:$G$100</definedName>
    <definedName name="DeadParityResidualA_payout" localSheetId="10">'SCF'!$C$65:$G$65</definedName>
    <definedName name="DeadReAddChangeInOperatingCash_base" localSheetId="8">'FCF'!$C$19:$G$19</definedName>
    <definedName name="DeadReAddChangeInOperatingCash_deleverage" localSheetId="8">'FCF'!$C$55:$G$55</definedName>
    <definedName name="DeadReAddChangeInOperatingCash_payout" localSheetId="8">'FCF'!$C$37:$G$37</definedName>
    <definedName name="DeadSwing_base" localSheetId="10">'SCF'!$C$37:$G$37</definedName>
    <definedName name="DeadSwing_deleverage" localSheetId="10">'SCF'!$C$107:$G$107</definedName>
    <definedName name="DeadSwing_payout" localSheetId="10">'SCF'!$C$72:$G$72</definedName>
    <definedName name="DeltaAccountsReceivable_base" localSheetId="7">_xlfn.ANCHORARRAY('BS'!$C$36)</definedName>
    <definedName name="DeltaAccountsReceivable_deleverage" localSheetId="7">_xlfn.ANCHORARRAY('BS'!$C$112)</definedName>
    <definedName name="DeltaAccountsReceivable_payout" localSheetId="7">_xlfn.ANCHORARRAY('BS'!$C$74)</definedName>
    <definedName name="DeltaFinancialDebt_base" localSheetId="7">_xlfn.ANCHORARRAY('BS'!$C$33)</definedName>
    <definedName name="DeltaFinancialDebt_deleverage" localSheetId="7">_xlfn.ANCHORARRAY('BS'!$C$109)</definedName>
    <definedName name="DeltaFinancialDebt_payout" localSheetId="7">_xlfn.ANCHORARRAY('BS'!$C$71)</definedName>
    <definedName name="DeltaFinishedGoods_base" localSheetId="7">_xlfn.ANCHORARRAY('BS'!$C$38)</definedName>
    <definedName name="DeltaFinishedGoods_deleverage" localSheetId="7">_xlfn.ANCHORARRAY('BS'!$C$114)</definedName>
    <definedName name="DeltaFinishedGoods_payout" localSheetId="7">_xlfn.ANCHORARRAY('BS'!$C$76)</definedName>
    <definedName name="DeltaMinimumOperatingCash_base" localSheetId="7">_xlfn.ANCHORARRAY('BS'!$C$35)</definedName>
    <definedName name="DeltaMinimumOperatingCash_deleverage" localSheetId="7">_xlfn.ANCHORARRAY('BS'!$C$111)</definedName>
    <definedName name="DeltaMinimumOperatingCash_payout" localSheetId="7">_xlfn.ANCHORARRAY('BS'!$C$73)</definedName>
    <definedName name="DeltaNetFixedAssets_base" localSheetId="7">_xlfn.ANCHORARRAY('BS'!$C$34)</definedName>
    <definedName name="DeltaNetFixedAssets_deleverage" localSheetId="7">_xlfn.ANCHORARRAY('BS'!$C$110)</definedName>
    <definedName name="DeltaNetFixedAssets_payout" localSheetId="7">_xlfn.ANCHORARRAY('BS'!$C$72)</definedName>
    <definedName name="DeltaNetWorkingCapital_base" localSheetId="7">_xlfn.ANCHORARRAY('BS'!$C$32)</definedName>
    <definedName name="DeltaNetWorkingCapital_deleverage" localSheetId="7">_xlfn.ANCHORARRAY('BS'!$C$108)</definedName>
    <definedName name="DeltaNetWorkingCapital_payout" localSheetId="7">_xlfn.ANCHORARRAY('BS'!$C$70)</definedName>
    <definedName name="DeltaOtherAccountsPayable_base" localSheetId="7">_xlfn.ANCHORARRAY('BS'!$C$39)</definedName>
    <definedName name="DeltaOtherAccountsPayable_deleverage" localSheetId="7">_xlfn.ANCHORARRAY('BS'!$C$115)</definedName>
    <definedName name="DeltaOtherAccountsPayable_payout" localSheetId="7">_xlfn.ANCHORARRAY('BS'!$C$77)</definedName>
    <definedName name="DeltaRawMaterials_base" localSheetId="7">_xlfn.ANCHORARRAY('BS'!$C$37)</definedName>
    <definedName name="DeltaRawMaterials_deleverage" localSheetId="7">_xlfn.ANCHORARRAY('BS'!$C$113)</definedName>
    <definedName name="DeltaRawMaterials_payout" localSheetId="7">_xlfn.ANCHORARRAY('BS'!$C$75)</definedName>
    <definedName name="DeltaWagesPayable_base" localSheetId="7">_xlfn.ANCHORARRAY('BS'!$C$40)</definedName>
    <definedName name="DeltaWagesPayable_deleverage" localSheetId="7">_xlfn.ANCHORARRAY('BS'!$C$116)</definedName>
    <definedName name="DeltaWagesPayable_payout" localSheetId="7">_xlfn.ANCHORARRAY('BS'!$C$78)</definedName>
    <definedName name="Depreciation_base" localSheetId="6">_xlfn.ANCHORARRAY('IS'!$C$13)</definedName>
    <definedName name="Depreciation_base" localSheetId="7">_xlfn.CHOOSEROWS(BS!FixedAssetRoll_base, 1)</definedName>
    <definedName name="Depreciation_deleverage" localSheetId="6">_xlfn.ANCHORARRAY('IS'!$C$51)</definedName>
    <definedName name="Depreciation_deleverage" localSheetId="7">_xlfn.CHOOSEROWS(BS!FixedAssetRoll_deleverage, 1)</definedName>
    <definedName name="Depreciation_payout" localSheetId="6">_xlfn.ANCHORARRAY('IS'!$C$32)</definedName>
    <definedName name="Depreciation_payout" localSheetId="7">_xlfn.CHOOSEROWS(BS!FixedAssetRoll_payout, 1)</definedName>
    <definedName name="DirectLaborCosts_base" localSheetId="6">_xlfn.ANCHORARRAY('IS'!$C$8)</definedName>
    <definedName name="DirectLaborCosts_deleverage" localSheetId="6">_xlfn.ANCHORARRAY('IS'!$C$46)</definedName>
    <definedName name="DirectLaborCosts_payout" localSheetId="6">_xlfn.ANCHORARRAY('IS'!$C$27)</definedName>
    <definedName name="DirLabUnitCost" localSheetId="2">'LastActuals'!$C$21</definedName>
    <definedName name="DirLabUnitCost_base" localSheetId="4">_xlfn.ANCHORARRAY('SalesCOGS'!$C$11)</definedName>
    <definedName name="DirLabUnitCost_base" localSheetId="1">'Assumpt'!$C$38</definedName>
    <definedName name="DirLabUnitCost_deleverage" localSheetId="4">_xlfn.ANCHORARRAY('SalesCOGS'!$C$27)</definedName>
    <definedName name="DirLabUnitCost_deleverage" localSheetId="1">'Assumpt'!$E$38</definedName>
    <definedName name="DirLabUnitCost_payout" localSheetId="4">_xlfn.ANCHORARRAY('SalesCOGS'!$C$19)</definedName>
    <definedName name="DirLabUnitCost_payout" localSheetId="1">'Assumpt'!$D$38</definedName>
    <definedName name="DiscretionaryBCI_base" localSheetId="10">_xlfn.ANCHORARRAY('SCF'!$C$14)</definedName>
    <definedName name="DiscretionaryBCI_deleverage" localSheetId="10">_xlfn.ANCHORARRAY('SCF'!$C$84)</definedName>
    <definedName name="DiscretionaryBCI_payout" localSheetId="10">_xlfn.ANCHORARRAY('SCF'!$C$49)</definedName>
    <definedName name="DiscretionaryCash_base" localSheetId="9">_xlfn.ANCHORARRAY('SCF recursive'!$C$14)</definedName>
    <definedName name="DiscretionaryCash_base" localSheetId="10">_xlfn.ANCHORARRAY('SCF'!$C$25)</definedName>
    <definedName name="DiscretionaryCash_deleverage" localSheetId="9">_xlfn.ANCHORARRAY('SCF recursive'!$C$84)</definedName>
    <definedName name="DiscretionaryCash_deleverage" localSheetId="10">_xlfn.ANCHORARRAY('SCF'!$C$95)</definedName>
    <definedName name="DiscretionaryCash_payout" localSheetId="9">_xlfn.ANCHORARRAY('SCF recursive'!$C$49)</definedName>
    <definedName name="DiscretionaryCash_payout" localSheetId="10">_xlfn.ANCHORARRAY('SCF'!$C$60)</definedName>
    <definedName name="DiscretionaryCashShortfall_base" localSheetId="10">_xlfn.ANCHORARRAY('SCF'!$C$34)</definedName>
    <definedName name="DiscretionaryCashShortfall_deleverage" localSheetId="10">_xlfn.ANCHORARRAY('SCF'!$C$104)</definedName>
    <definedName name="DiscretionaryCashShortfall_payout" localSheetId="10">_xlfn.ANCHORARRAY('SCF'!$C$69)</definedName>
    <definedName name="DiscretionaryPrev_base" localSheetId="9">_xlfn.ANCHORARRAY('SCF recursive'!$C$17)</definedName>
    <definedName name="DiscretionaryPrev_base" localSheetId="10">_xlfn.ANCHORARRAY('SCF'!$C$13)</definedName>
    <definedName name="DiscretionaryPrev_deleverage" localSheetId="9">_xlfn.ANCHORARRAY('SCF recursive'!$C$87)</definedName>
    <definedName name="DiscretionaryPrev_deleverage" localSheetId="10">_xlfn.ANCHORARRAY('SCF'!$C$83)</definedName>
    <definedName name="DiscretionaryPrev_payout" localSheetId="9">_xlfn.ANCHORARRAY('SCF recursive'!$C$52)</definedName>
    <definedName name="DiscretionaryPrev_payout" localSheetId="10">_xlfn.ANCHORARRAY('SCF'!$C$48)</definedName>
    <definedName name="Dividends_base" localSheetId="7">_xlfn.ANCHORARRAY('BS'!$C$23)</definedName>
    <definedName name="Dividends_base" localSheetId="9">_xlfn.ANCHORARRAY('SCF recursive'!$C$8)</definedName>
    <definedName name="Dividends_base" localSheetId="10">_xlfn.ANCHORARRAY('SCF'!$C$8)</definedName>
    <definedName name="Dividends_deleverage" localSheetId="7">_xlfn.ANCHORARRAY('BS'!$C$99)</definedName>
    <definedName name="Dividends_deleverage" localSheetId="9">_xlfn.ANCHORARRAY('SCF recursive'!$C$78)</definedName>
    <definedName name="Dividends_deleverage" localSheetId="10">_xlfn.ANCHORARRAY('SCF'!$C$78)</definedName>
    <definedName name="Dividends_payout" localSheetId="7">_xlfn.ANCHORARRAY('BS'!$C$61)</definedName>
    <definedName name="Dividends_payout" localSheetId="9">_xlfn.ANCHORARRAY('SCF recursive'!$C$43)</definedName>
    <definedName name="Dividends_payout" localSheetId="10">_xlfn.ANCHORARRAY('SCF'!$C$43)</definedName>
    <definedName name="EBIT_base" localSheetId="8">_xlfn.ANCHORARRAY('FCF'!$C$6)</definedName>
    <definedName name="EBIT_base" localSheetId="6">_xlfn.ANCHORARRAY('IS'!$C$14)</definedName>
    <definedName name="EBIT_deleverage" localSheetId="8">_xlfn.ANCHORARRAY('FCF'!$C$42)</definedName>
    <definedName name="EBIT_deleverage" localSheetId="6">_xlfn.ANCHORARRAY('IS'!$C$52)</definedName>
    <definedName name="EBIT_payout" localSheetId="8">_xlfn.ANCHORARRAY('FCF'!$C$24)</definedName>
    <definedName name="EBIT_payout" localSheetId="6">_xlfn.ANCHORARRAY('IS'!$C$33)</definedName>
    <definedName name="EBITDA_base" localSheetId="6">_xlfn.ANCHORARRAY('IS'!$C$12)</definedName>
    <definedName name="EBITDA_deleverage" localSheetId="6">_xlfn.ANCHORARRAY('IS'!$C$50)</definedName>
    <definedName name="EBITDA_payout" localSheetId="6">_xlfn.ANCHORARRAY('IS'!$C$31)</definedName>
    <definedName name="ExcessBCI_base" localSheetId="10">_xlfn.ANCHORARRAY('SCF'!$C$15)</definedName>
    <definedName name="ExcessBCI_deleverage" localSheetId="10">_xlfn.ANCHORARRAY('SCF'!$C$85)</definedName>
    <definedName name="ExcessBCI_payout" localSheetId="10">_xlfn.ANCHORARRAY('SCF'!$C$50)</definedName>
    <definedName name="ExcessCash_base" localSheetId="7">_xlfn.ANCHORARRAY('BS'!$C$18)</definedName>
    <definedName name="ExcessCash_base" localSheetId="9">_xlfn.ANCHORARRAY('SCF recursive'!$C$15)</definedName>
    <definedName name="ExcessCash_base" localSheetId="10">_xlfn.ANCHORARRAY('SCF'!$C$26)</definedName>
    <definedName name="ExcessCash_deleverage" localSheetId="7">_xlfn.ANCHORARRAY('BS'!$C$94)</definedName>
    <definedName name="ExcessCash_deleverage" localSheetId="9">_xlfn.ANCHORARRAY('SCF recursive'!$C$85)</definedName>
    <definedName name="ExcessCash_deleverage" localSheetId="10">_xlfn.ANCHORARRAY('SCF'!$C$96)</definedName>
    <definedName name="ExcessCash_payout" localSheetId="7">_xlfn.ANCHORARRAY('BS'!$C$56)</definedName>
    <definedName name="ExcessCash_payout" localSheetId="9">_xlfn.ANCHORARRAY('SCF recursive'!$C$50)</definedName>
    <definedName name="ExcessCash_payout" localSheetId="10">_xlfn.ANCHORARRAY('SCF'!$C$61)</definedName>
    <definedName name="ExcessPrev_base" localSheetId="9">_xlfn.ANCHORARRAY('SCF recursive'!$C$18)</definedName>
    <definedName name="ExcessPrev_deleverage" localSheetId="9">_xlfn.ANCHORARRAY('SCF recursive'!$C$88)</definedName>
    <definedName name="ExcessPrev_payout" localSheetId="9">_xlfn.ANCHORARRAY('SCF recursive'!$C$53)</definedName>
    <definedName name="FCF_base" localSheetId="11">_xlfn.VSTACK(FCF!EBIT_base, FCF!LessTaxesOnEBIT_base, FCF!UnleveredNetIncome_base, FCF!PlusDepreciation_base, FCF!LessChangesInNWC_base, FCF!LessCapex_base, FCF!FCFF_base, FCF!PlusNetBorrowing_base, FCF!LessAfterTaxFindebtInterest_base, FCF!FCFE_base, FCF!FreeDividends_base, FCF!FreeSaleOrPurchaseOfStock_base, FCF!DeadAfterTaxCashInterest_base, FCF!DeadReAddChangeInOperatingCash_base, FCF!NCF_base)</definedName>
    <definedName name="FCF_baseExp" localSheetId="11">'Check'!$B$144:$F$158</definedName>
    <definedName name="FCF_deleverage" localSheetId="11">_xlfn.VSTACK(FCF!EBIT_deleverage, FCF!LessTaxesOnEBIT_deleverage, FCF!UnleveredNetIncome_deleverage, FCF!PlusDepreciation_deleverage, FCF!LessChangesInNWC_deleverage, FCF!LessCapex_deleverage, FCF!FCFF_deleverage, FCF!PlusNetBorrowing_deleverage, FCF!LessAfterTaxFindebtInterest_deleverage, FCF!FCFE_deleverage, FCF!FreeDividends_deleverage, FCF!FreeSaleOrPurchaseOfStock_deleverage, FCF!DeadAfterTaxCashInterest_deleverage, FCF!DeadReAddChangeInOperatingCash_deleverage, FCF!NCF_deleverage)</definedName>
    <definedName name="FCF_deleverageExp" localSheetId="11">'Check'!$B$596:$F$610</definedName>
    <definedName name="FCF_payout" localSheetId="11">_xlfn.VSTACK(FCF!EBIT_payout, FCF!LessTaxesOnEBIT_payout, FCF!UnleveredNetIncome_payout, FCF!PlusDepreciation_payout, FCF!LessChangesInNWC_payout, FCF!LessCapex_payout, FCF!FCFF_payout, FCF!PlusNetBorrowing_payout, FCF!LessAfterTaxFindebtInterest_payout, FCF!FCFE_payout, FCF!FreeDividends_payout, FCF!FreeSaleOrPurchaseOfStock_payout, FCF!DeadAfterTaxCashInterest_payout, FCF!DeadReAddChangeInOperatingCash_payout, FCF!NCF_payout)</definedName>
    <definedName name="FCF_payoutExp" localSheetId="11">'Check'!$B$370:$F$384</definedName>
    <definedName name="FCFE_base" localSheetId="8">_xlfn.ANCHORARRAY('FCF'!$C$15)</definedName>
    <definedName name="FCFE_base" localSheetId="9">_xlfn.ANCHORARRAY('SCF recursive'!$C$6)</definedName>
    <definedName name="FCFE_base" localSheetId="10">_xlfn.ANCHORARRAY('SCF'!$C$6)</definedName>
    <definedName name="FCFE_deleverage" localSheetId="8">_xlfn.ANCHORARRAY('FCF'!$C$51)</definedName>
    <definedName name="FCFE_deleverage" localSheetId="9">_xlfn.ANCHORARRAY('SCF recursive'!$C$76)</definedName>
    <definedName name="FCFE_deleverage" localSheetId="10">_xlfn.ANCHORARRAY('SCF'!$C$76)</definedName>
    <definedName name="FCFE_payout" localSheetId="8">_xlfn.ANCHORARRAY('FCF'!$C$33)</definedName>
    <definedName name="FCFE_payout" localSheetId="9">_xlfn.ANCHORARRAY('SCF recursive'!$C$41)</definedName>
    <definedName name="FCFE_payout" localSheetId="10">_xlfn.ANCHORARRAY('SCF'!$C$41)</definedName>
    <definedName name="FCFF_base" localSheetId="8">_xlfn.ANCHORARRAY('FCF'!$C$12)</definedName>
    <definedName name="FCFF_deleverage" localSheetId="8">_xlfn.ANCHORARRAY('FCF'!$C$48)</definedName>
    <definedName name="FCFF_payout" localSheetId="8">_xlfn.ANCHORARRAY('FCF'!$C$30)</definedName>
    <definedName name="FinancialDebt_base" localSheetId="7">_xlfn.ANCHORARRAY('BS'!$C$20)</definedName>
    <definedName name="FinancialDebt_deleverage" localSheetId="7">_xlfn.ANCHORARRAY('BS'!$C$96)</definedName>
    <definedName name="FinancialDebt_payout" localSheetId="7">_xlfn.ANCHORARRAY('BS'!$C$58)</definedName>
    <definedName name="FinDebt_base" localSheetId="11">_xlfn.VSTACK(FinDebt!OutstandingDebt_base, FinDebt!Interest_base)</definedName>
    <definedName name="FinDebt_baseExp" localSheetId="11">'Check'!$B$80:$F$81</definedName>
    <definedName name="FinDebt_deleverage" localSheetId="11">_xlfn.VSTACK(FinDebt!OutstandingDebt_deleverage, FinDebt!Interest_deleverage)</definedName>
    <definedName name="FinDebt_deleverageExp" localSheetId="11">'Check'!$B$532:$F$533</definedName>
    <definedName name="FinDebt_payout" localSheetId="11">_xlfn.VSTACK(FinDebt!OutstandingDebt_payout, FinDebt!Interest_payout)</definedName>
    <definedName name="FinDebt_payoutExp" localSheetId="11">'Check'!$B$306:$F$307</definedName>
    <definedName name="FinishedGoods_base" localSheetId="7">_xlfn.ANCHORARRAY('BS'!$C$8)</definedName>
    <definedName name="FinishedGoods_deleverage" localSheetId="7">_xlfn.ANCHORARRAY('BS'!$C$84)</definedName>
    <definedName name="FinishedGoods_payout" localSheetId="7">_xlfn.ANCHORARRAY('BS'!$C$46)</definedName>
    <definedName name="FixCap" localSheetId="0">'Model'!$C$16</definedName>
    <definedName name="FixedAssetRoll_base" localSheetId="7">_xlfn.ANCHORARRAY('BS'!$C$14)</definedName>
    <definedName name="FixedAssetRoll_deleverage" localSheetId="7">_xlfn.ANCHORARRAY('BS'!$C$90)</definedName>
    <definedName name="FixedAssetRoll_payout" localSheetId="7">_xlfn.ANCHORARRAY('BS'!$C$52)</definedName>
    <definedName name="FixTol" localSheetId="0">'Model'!$C$15</definedName>
    <definedName name="FN.AVGNEG">_xlfn.LAMBDA(_xlpm.prev, _xlpm.bci, IF((_xlpm.prev &lt;= 0) * (_xlpm.bci &lt;= 0), -((_xlpm.prev + _xlpm.bci)) / 2, IF((_xlpm.prev &gt; 0) * (_xlpm.bci &gt; 0), 0, IF((_xlpm.prev &lt;= 0) * (_xlpm.bci &gt; 0), (-0.5 * _xlpm.prev * -_xlpm.prev) / (_xlpm.bci - _xlpm.prev), IF((_xlpm.prev &gt; 0) * (_xlpm.bci &lt;= 0), (-0.5 * _xlpm.bci * -_xlpm.bci) / (_xlpm.prev - _xlpm.bci), 0)))))</definedName>
    <definedName name="FN.AVGPART">_xlfn.LAMBDA(_xlpm.part_prev, _xlpm.part, _xlpm.swing, IF(_xlpm.swing &gt; 0, 0.5 * (_xlpm.part_prev + _xlpm.part) * (_xlpm.part_prev + _xlpm.part) / _xlpm.swing, 0) )</definedName>
    <definedName name="FN.AVGPOS">_xlfn.LAMBDA(_xlpm.prev, _xlpm.bci, IF((_xlpm.prev &gt;= 0) * (_xlpm.bci &gt;= 0), (_xlpm.prev + _xlpm.bci) / 2, IF((_xlpm.prev &lt;= 0) * (_xlpm.bci &lt;= 0), 0, IF((_xlpm.prev &gt; 0) * (_xlpm.bci &lt;= 0), (0.5 * _xlpm.prev * _xlpm.prev) / (_xlpm.prev - _xlpm.bci), IF((_xlpm.prev &lt;= 0) * (_xlpm.bci &gt; 0), (0.5 * _xlpm.bci * _xlpm.bci) / (_xlpm.bci - _xlpm.prev), 0)))))</definedName>
    <definedName name="FN.DELTA">_xlfn.LAMBDA(_xlpm.row, _xlpm.row - FN.PREV(_xlpm.row) )</definedName>
    <definedName name="FN.DEV">_xlfn.LAMBDA(_xlpm.got, _xlpm.exp, IF(ISNA(_xlpm.exp), IF(ISNA(_xlpm.got), 0, 1E+99), IF(ISNA(_xlpm.got), 1E+99, ABS(_xlpm.got - _xlpm.exp)) ) )</definedName>
    <definedName name="FN.GROW">_xlfn.LAMBDA(_xlpm.seed, _xlpm.growth, _xlpm.periods, FN.SEEDREC( _xlpm.seed, FN.SPREAD(_xlpm.growth, _xlpm.periods), _xlfn.LAMBDA(_xlpm.prev, _xlpm.g, _xlpm.prev * (1 + _xlpm.g)) ) )</definedName>
    <definedName name="FN.MAXDEV">_xlfn.LAMBDA(_xlpm.computed, _xlpm.expected, MAX(FN.DEV(_xlpm.computed, _xlpm.expected)) )</definedName>
    <definedName name="FN.PICK">_xlfn.LAMBDA(_xlpm.key, _xlpm.keys, _xlpm.vals, _xlfn.XLOOKUP(_xlpm.key, _xlpm.keys, _xlpm.vals, NA(), 0) )</definedName>
    <definedName name="FN.PREV">_xlfn.LAMBDA(_xlpm.row, IF(COLUMNS(_xlpm.row) &lt; 2, _xlfn.DROP(_xlfn.EXPAND(0, 1, 2), 0, 1), _xlfn.HSTACK(_xlfn.DROP(_xlfn.EXPAND(0, 1, 2), 0, 1), _xlfn.DROP(_xlpm.row, 0, -1)) ) )</definedName>
    <definedName name="FN.SEEDREC">_xlfn.LAMBDA(_xlpm.seed, _xlpm.drivers, _xlpm.step, IF(COLUMNS(_xlpm.drivers) &lt; 2, _xlpm.seed, _xlfn.HSTACK(_xlpm.seed, _xlfn.SCAN(_xlpm.seed, _xlfn.DROP(_xlpm.drivers, 0, 1), _xlpm.step)) ) )</definedName>
    <definedName name="FN.SEEDROW">_xlfn.LAMBDA(_xlpm.seed, _xlpm.rest, IF(COLUMNS(_xlpm.rest) &lt; 2, _xlpm.seed, _xlfn.HSTACK(_xlpm.seed, _xlfn.DROP(_xlpm.rest, 0, 1)) ) )</definedName>
    <definedName name="FN.SPREAD">_xlfn.LAMBDA(_xlpm.v, _xlpm.periods, _xlfn.EXPAND(_xlpm.v, 1, _xlpm.periods, INDEX(_xlpm.v, 1, COLUMNS(_xlpm.v))) )</definedName>
    <definedName name="FN.TIMELINE">_xlfn.LAMBDA(_xlpm.start, _xlpm.periods, _xlfn.SEQUENCE(1, _xlpm.periods, _xlpm.start, 1) )</definedName>
    <definedName name="FreeDividends_base" localSheetId="8">_xlfn.ANCHORARRAY('FCF'!$C$16)</definedName>
    <definedName name="FreeDividends_deleverage" localSheetId="8">_xlfn.ANCHORARRAY('FCF'!$C$52)</definedName>
    <definedName name="FreeDividends_payout" localSheetId="8">_xlfn.ANCHORARRAY('FCF'!$C$34)</definedName>
    <definedName name="FreeSaleOrPurchaseOfStock_base" localSheetId="8">_xlfn.ANCHORARRAY('FCF'!$C$17)</definedName>
    <definedName name="FreeSaleOrPurchaseOfStock_deleverage" localSheetId="8">_xlfn.ANCHORARRAY('FCF'!$C$53)</definedName>
    <definedName name="FreeSaleOrPurchaseOfStock_payout" localSheetId="8">_xlfn.ANCHORARRAY('FCF'!$C$35)</definedName>
    <definedName name="Goodwill_base" localSheetId="7">_xlfn.ANCHORARRAY('BS'!$C$17)</definedName>
    <definedName name="Goodwill_deleverage" localSheetId="7">_xlfn.ANCHORARRAY('BS'!$C$93)</definedName>
    <definedName name="Goodwill_payout" localSheetId="7">_xlfn.ANCHORARRAY('BS'!$C$55)</definedName>
    <definedName name="GrossProfit_base" localSheetId="6">_xlfn.ANCHORARRAY('IS'!$C$9)</definedName>
    <definedName name="GrossProfit_deleverage" localSheetId="6">_xlfn.ANCHORARRAY('IS'!$C$47)</definedName>
    <definedName name="GrossProfit_payout" localSheetId="6">_xlfn.ANCHORARRAY('IS'!$C$28)</definedName>
    <definedName name="IN.ACTUAL">_xlfn.LAMBDA(_xlpm.key, FN.PICK(_xlpm.key, tblActuals[item], tblActuals[value]))</definedName>
    <definedName name="IN.ASMPT_base">_xlfn.LAMBDA(_xlpm.key, FN.PICK(_xlpm.key, tblAssumpt[item], tblAssumpt[base]))</definedName>
    <definedName name="IN.ASMPT_deleverage">_xlfn.LAMBDA(_xlpm.key, FN.PICK(_xlpm.key, tblAssumpt[item], tblAssumpt[deleverage]))</definedName>
    <definedName name="IN.ASMPT_payout">_xlfn.LAMBDA(_xlpm.key, FN.PICK(_xlpm.key, tblAssumpt[item], tblAssumpt[payout]))</definedName>
    <definedName name="IN.RATE_base">_xlfn.LAMBDA(_xlpm.key, FN.PICK(_xlpm.key, tblRates[item], tblRates[base]))</definedName>
    <definedName name="IN.RATE_deleverage">_xlfn.LAMBDA(_xlpm.key, FN.PICK(_xlpm.key, tblRates[item], tblRates[deleverage]))</definedName>
    <definedName name="IN.RATE_payout">_xlfn.LAMBDA(_xlpm.key, FN.PICK(_xlpm.key, tblRates[item], tblRates[payout]))</definedName>
    <definedName name="IN.SET">_xlfn.LAMBDA(_xlpm.key, FN.PICK(_xlpm.key, tblSettings[item], tblSettings[value]))</definedName>
    <definedName name="IncomeTaxes_base" localSheetId="6">_xlfn.ANCHORARRAY('IS'!$C$20)</definedName>
    <definedName name="IncomeTaxes_deleverage" localSheetId="6">_xlfn.ANCHORARRAY('IS'!$C$58)</definedName>
    <definedName name="IncomeTaxes_payout" localSheetId="6">_xlfn.ANCHORARRAY('IS'!$C$39)</definedName>
    <definedName name="Interest_base" localSheetId="5">_xlfn.ANCHORARRAY('FinDebt'!$C$7)</definedName>
    <definedName name="Interest_deleverage" localSheetId="5">_xlfn.ANCHORARRAY('FinDebt'!$C$17)</definedName>
    <definedName name="Interest_payout" localSheetId="5">_xlfn.ANCHORARRAY('FinDebt'!$C$12)</definedName>
    <definedName name="InterestExpenseOnBankOverdraft_base" localSheetId="6">_xlfn.ANCHORARRAY('IS'!$C$17)</definedName>
    <definedName name="InterestExpenseOnBankOverdraft_deleverage" localSheetId="6">_xlfn.ANCHORARRAY('IS'!$C$55)</definedName>
    <definedName name="InterestExpenseOnBankOverdraft_payout" localSheetId="6">_xlfn.ANCHORARRAY('IS'!$C$36)</definedName>
    <definedName name="InterestIncomeOnExcessCash_base" localSheetId="6">_xlfn.ANCHORARRAY('IS'!$C$16)</definedName>
    <definedName name="InterestIncomeOnExcessCash_deleverage" localSheetId="6">_xlfn.ANCHORARRAY('IS'!$C$54)</definedName>
    <definedName name="InterestIncomeOnExcessCash_payout" localSheetId="6">_xlfn.ANCHORARRAY('IS'!$C$35)</definedName>
    <definedName name="InterestOnFinancialDebt_base" localSheetId="6">_xlfn.ANCHORARRAY('IS'!$C$15)</definedName>
    <definedName name="InterestOnFinancialDebt_deleverage" localSheetId="6">_xlfn.ANCHORARRAY('IS'!$C$53)</definedName>
    <definedName name="InterestOnFinancialDebt_payout" localSheetId="6">_xlfn.ANCHORARRAY('IS'!$C$34)</definedName>
    <definedName name="IS_base" localSheetId="11">_xlfn.VSTACK(IS!Sales_base, IS!RawMaterials_base, IS!DirectLaborCosts_base, IS!GrossProfit_base, IS!SalesAndMarketing_base, IS!Administrative_base, IS!EBITDA_base, IS!Depreciation_base, IS!EBIT_base, IS!InterestOnFinancialDebt_base, IS!InterestIncomeOnExcessCash_base, IS!InterestExpenseOnBankOverdraft_base, IS!NetFinancialResult_base, IS!PreTaxIncome_base, IS!IncomeTaxes_base, IS!NetIncome_base)</definedName>
    <definedName name="IS_baseExp" localSheetId="11">'Check'!$B$86:$F$101</definedName>
    <definedName name="IS_deleverage" localSheetId="11">_xlfn.VSTACK(IS!Sales_deleverage, IS!RawMaterials_deleverage, IS!DirectLaborCosts_deleverage, IS!GrossProfit_deleverage, IS!SalesAndMarketing_deleverage, IS!Administrative_deleverage, IS!EBITDA_deleverage, IS!Depreciation_deleverage, IS!EBIT_deleverage, IS!InterestOnFinancialDebt_deleverage, IS!InterestIncomeOnExcessCash_deleverage, IS!InterestExpenseOnBankOverdraft_deleverage, IS!NetFinancialResult_deleverage, IS!PreTaxIncome_deleverage, IS!IncomeTaxes_deleverage, IS!NetIncome_deleverage)</definedName>
    <definedName name="IS_deleverageExp" localSheetId="11">'Check'!$B$538:$F$553</definedName>
    <definedName name="IS_payout" localSheetId="11">_xlfn.VSTACK(IS!Sales_payout, IS!RawMaterials_payout, IS!DirectLaborCosts_payout, IS!GrossProfit_payout, IS!SalesAndMarketing_payout, IS!Administrative_payout, IS!EBITDA_payout, IS!Depreciation_payout, IS!EBIT_payout, IS!InterestOnFinancialDebt_payout, IS!InterestIncomeOnExcessCash_payout, IS!InterestExpenseOnBankOverdraft_payout, IS!NetFinancialResult_payout, IS!PreTaxIncome_payout, IS!IncomeTaxes_payout, IS!NetIncome_payout)</definedName>
    <definedName name="IS_payoutExp" localSheetId="11">'Check'!$B$312:$F$327</definedName>
    <definedName name="LastActuals" localSheetId="11">_xlfn.VSTACK(tblActuals[value], LastActuals!MarketShare, LastActuals!AvgSalesPrice, LastActuals!RawMatUnitCost, LastActuals!DirLabUnitCost)</definedName>
    <definedName name="LastActualsExp" localSheetId="11">'Check'!$B$18:$B$31</definedName>
    <definedName name="LessAfterTaxFindebtInterest_base" localSheetId="8">_xlfn.ANCHORARRAY('FCF'!$C$14)</definedName>
    <definedName name="LessAfterTaxFindebtInterest_deleverage" localSheetId="8">_xlfn.ANCHORARRAY('FCF'!$C$50)</definedName>
    <definedName name="LessAfterTaxFindebtInterest_payout" localSheetId="8">_xlfn.ANCHORARRAY('FCF'!$C$32)</definedName>
    <definedName name="LessCapex_base" localSheetId="8">_xlfn.ANCHORARRAY('FCF'!$C$11)</definedName>
    <definedName name="LessCapex_deleverage" localSheetId="8">_xlfn.ANCHORARRAY('FCF'!$C$47)</definedName>
    <definedName name="LessCapex_payout" localSheetId="8">_xlfn.ANCHORARRAY('FCF'!$C$29)</definedName>
    <definedName name="LessChangesInNWC_base" localSheetId="8">_xlfn.ANCHORARRAY('FCF'!$C$10)</definedName>
    <definedName name="LessChangesInNWC_deleverage" localSheetId="8">_xlfn.ANCHORARRAY('FCF'!$C$46)</definedName>
    <definedName name="LessChangesInNWC_payout" localSheetId="8">_xlfn.ANCHORARRAY('FCF'!$C$28)</definedName>
    <definedName name="LessTaxesOnEBIT_base" localSheetId="8">_xlfn.ANCHORARRAY('FCF'!$C$7)</definedName>
    <definedName name="LessTaxesOnEBIT_deleverage" localSheetId="8">_xlfn.ANCHORARRAY('FCF'!$C$43)</definedName>
    <definedName name="LessTaxesOnEBIT_payout" localSheetId="8">_xlfn.ANCHORARRAY('FCF'!$C$25)</definedName>
    <definedName name="MarketShare" localSheetId="2">'LastActuals'!$C$18</definedName>
    <definedName name="MarketShare_base" localSheetId="4">_xlfn.ANCHORARRAY('SalesCOGS'!$C$7)</definedName>
    <definedName name="MarketShare_base" localSheetId="1">'Assumpt'!$C$35</definedName>
    <definedName name="MarketShare_deleverage" localSheetId="4">_xlfn.ANCHORARRAY('SalesCOGS'!$C$23)</definedName>
    <definedName name="MarketShare_deleverage" localSheetId="1">'Assumpt'!$E$35</definedName>
    <definedName name="MarketShare_payout" localSheetId="4">_xlfn.ANCHORARRAY('SalesCOGS'!$C$15)</definedName>
    <definedName name="MarketShare_payout" localSheetId="1">'Assumpt'!$D$35</definedName>
    <definedName name="MarketSize_base" localSheetId="4">_xlfn.ANCHORARRAY('SalesCOGS'!$C$6)</definedName>
    <definedName name="MarketSize_deleverage" localSheetId="4">_xlfn.ANCHORARRAY('SalesCOGS'!$C$22)</definedName>
    <definedName name="MarketSize_payout" localSheetId="4">_xlfn.ANCHORARRAY('SalesCOGS'!$C$14)</definedName>
    <definedName name="MinimumOperatingCash_base" localSheetId="7">_xlfn.ANCHORARRAY('BS'!$C$11)</definedName>
    <definedName name="MinimumOperatingCash_deleverage" localSheetId="7">_xlfn.ANCHORARRAY('BS'!$C$87)</definedName>
    <definedName name="MinimumOperatingCash_payout" localSheetId="7">_xlfn.ANCHORARRAY('BS'!$C$49)</definedName>
    <definedName name="NCF_base" localSheetId="8">_xlfn.ANCHORARRAY('FCF'!$C$20)</definedName>
    <definedName name="NCF_base" localSheetId="9">_xlfn.ANCHORARRAY('SCF recursive'!$C$12)</definedName>
    <definedName name="NCF_base" localSheetId="10">_xlfn.ANCHORARRAY('SCF'!$C$24)</definedName>
    <definedName name="NCF_deleverage" localSheetId="8">_xlfn.ANCHORARRAY('FCF'!$C$56)</definedName>
    <definedName name="NCF_deleverage" localSheetId="9">_xlfn.ANCHORARRAY('SCF recursive'!$C$82)</definedName>
    <definedName name="NCF_deleverage" localSheetId="10">_xlfn.ANCHORARRAY('SCF'!$C$94)</definedName>
    <definedName name="NCF_payout" localSheetId="8">_xlfn.ANCHORARRAY('FCF'!$C$38)</definedName>
    <definedName name="NCF_payout" localSheetId="9">_xlfn.ANCHORARRAY('SCF recursive'!$C$47)</definedName>
    <definedName name="NCF_payout" localSheetId="10">_xlfn.ANCHORARRAY('SCF'!$C$59)</definedName>
    <definedName name="NCFBCI_base" localSheetId="9">_xlfn.ANCHORARRAY('SCF recursive'!$C$10)</definedName>
    <definedName name="NCFBCI_base" localSheetId="10">_xlfn.ANCHORARRAY('SCF'!$C$10)</definedName>
    <definedName name="NCFBCI_deleverage" localSheetId="9">_xlfn.ANCHORARRAY('SCF recursive'!$C$80)</definedName>
    <definedName name="NCFBCI_deleverage" localSheetId="10">_xlfn.ANCHORARRAY('SCF'!$C$80)</definedName>
    <definedName name="NCFBCI_payout" localSheetId="9">_xlfn.ANCHORARRAY('SCF recursive'!$C$45)</definedName>
    <definedName name="NCFBCI_payout" localSheetId="10">_xlfn.ANCHORARRAY('SCF'!$C$45)</definedName>
    <definedName name="NCFViaCashDecomposition_base" localSheetId="9">_xlfn.ANCHORARRAY('SCF recursive'!$C$30)</definedName>
    <definedName name="NCFViaCashDecomposition_base" localSheetId="10">_xlfn.ANCHORARRAY('SCF'!$C$31)</definedName>
    <definedName name="NCFViaCashDecomposition_deleverage" localSheetId="9">_xlfn.ANCHORARRAY('SCF recursive'!$C$100)</definedName>
    <definedName name="NCFViaCashDecomposition_deleverage" localSheetId="10">_xlfn.ANCHORARRAY('SCF'!$C$101)</definedName>
    <definedName name="NCFViaCashDecomposition_payout" localSheetId="9">_xlfn.ANCHORARRAY('SCF recursive'!$C$65)</definedName>
    <definedName name="NCFViaCashDecomposition_payout" localSheetId="10">_xlfn.ANCHORARRAY('SCF'!$C$66)</definedName>
    <definedName name="NCFViaIncomeAndBSDelta_base" localSheetId="9">_xlfn.ANCHORARRAY('SCF recursive'!$C$28)</definedName>
    <definedName name="NCFViaIncomeAndBSDelta_deleverage" localSheetId="9">_xlfn.ANCHORARRAY('SCF recursive'!$C$98)</definedName>
    <definedName name="NCFViaIncomeAndBSDelta_payout" localSheetId="9">_xlfn.ANCHORARRAY('SCF recursive'!$C$63)</definedName>
    <definedName name="NetCashInterest_base" localSheetId="9">_xlfn.ANCHORARRAY('SCF recursive'!$C$25)</definedName>
    <definedName name="NetCashInterest_base" localSheetId="10">_xlfn.ANCHORARRAY('SCF'!$C$22)</definedName>
    <definedName name="NetCashInterest_deleverage" localSheetId="9">_xlfn.ANCHORARRAY('SCF recursive'!$C$95)</definedName>
    <definedName name="NetCashInterest_deleverage" localSheetId="10">_xlfn.ANCHORARRAY('SCF'!$C$92)</definedName>
    <definedName name="NetCashInterest_payout" localSheetId="9">_xlfn.ANCHORARRAY('SCF recursive'!$C$60)</definedName>
    <definedName name="NetCashInterest_payout" localSheetId="10">_xlfn.ANCHORARRAY('SCF'!$C$57)</definedName>
    <definedName name="NetCashPosition_base" localSheetId="9">_xlfn.ANCHORARRAY('SCF recursive'!$C$13)</definedName>
    <definedName name="NetCashPosition_base" localSheetId="10">_xlfn.ANCHORARRAY('SCF'!$C$11)</definedName>
    <definedName name="NetCashPosition_deleverage" localSheetId="9">_xlfn.ANCHORARRAY('SCF recursive'!$C$83)</definedName>
    <definedName name="NetCashPosition_deleverage" localSheetId="10">_xlfn.ANCHORARRAY('SCF'!$C$81)</definedName>
    <definedName name="NetCashPosition_payout" localSheetId="9">_xlfn.ANCHORARRAY('SCF recursive'!$C$48)</definedName>
    <definedName name="NetCashPosition_payout" localSheetId="10">_xlfn.ANCHORARRAY('SCF'!$C$46)</definedName>
    <definedName name="NetCashPositionBCI_base" localSheetId="10">_xlfn.ANCHORARRAY('SCF'!$C$12)</definedName>
    <definedName name="NetCashPositionBCI_deleverage" localSheetId="10">_xlfn.ANCHORARRAY('SCF'!$C$82)</definedName>
    <definedName name="NetCashPositionBCI_payout" localSheetId="10">_xlfn.ANCHORARRAY('SCF'!$C$47)</definedName>
    <definedName name="NetFinancialResult_base" localSheetId="6">_xlfn.ANCHORARRAY('IS'!$C$18)</definedName>
    <definedName name="NetFinancialResult_deleverage" localSheetId="6">_xlfn.ANCHORARRAY('IS'!$C$56)</definedName>
    <definedName name="NetFinancialResult_payout" localSheetId="6">_xlfn.ANCHORARRAY('IS'!$C$37)</definedName>
    <definedName name="NetFixedAssets_base" localSheetId="7">_xlfn.CHOOSEROWS(BS!FixedAssetRoll_base, 2)</definedName>
    <definedName name="NetFixedAssets_deleverage" localSheetId="7">_xlfn.CHOOSEROWS(BS!FixedAssetRoll_deleverage, 2)</definedName>
    <definedName name="NetFixedAssets_payout" localSheetId="7">_xlfn.CHOOSEROWS(BS!FixedAssetRoll_payout, 2)</definedName>
    <definedName name="NetIncome_base" localSheetId="7">_xlfn.ANCHORARRAY('BS'!$C$22)</definedName>
    <definedName name="NetIncome_base" localSheetId="6">_xlfn.ANCHORARRAY('IS'!$C$21)</definedName>
    <definedName name="NetIncome_deleverage" localSheetId="7">_xlfn.ANCHORARRAY('BS'!$C$98)</definedName>
    <definedName name="NetIncome_deleverage" localSheetId="6">_xlfn.ANCHORARRAY('IS'!$C$59)</definedName>
    <definedName name="NetIncome_payout" localSheetId="7">_xlfn.ANCHORARRAY('BS'!$C$60)</definedName>
    <definedName name="NetIncome_payout" localSheetId="6">_xlfn.ANCHORARRAY('IS'!$C$40)</definedName>
    <definedName name="NetWorkingCapital_base" localSheetId="7">_xlfn.ANCHORARRAY('BS'!$C$12)</definedName>
    <definedName name="NetWorkingCapital_deleverage" localSheetId="7">_xlfn.ANCHORARRAY('BS'!$C$88)</definedName>
    <definedName name="NetWorkingCapital_payout" localSheetId="7">_xlfn.ANCHORARRAY('BS'!$C$50)</definedName>
    <definedName name="OtherAccountsPayable_base" localSheetId="7">_xlfn.ANCHORARRAY('BS'!$C$10)</definedName>
    <definedName name="OtherAccountsPayable_deleverage" localSheetId="7">_xlfn.ANCHORARRAY('BS'!$C$86)</definedName>
    <definedName name="OtherAccountsPayable_payout" localSheetId="7">_xlfn.ANCHORARRAY('BS'!$C$48)</definedName>
    <definedName name="OutstandingDebt_base" localSheetId="5">'FinDebt'!$C$6:$G$6</definedName>
    <definedName name="OutstandingDebt_deleverage" localSheetId="5">'FinDebt'!$C$16:$G$16</definedName>
    <definedName name="OutstandingDebt_payout" localSheetId="5">'FinDebt'!$C$11:$G$11</definedName>
    <definedName name="OverdraftBCI_base" localSheetId="10">_xlfn.ANCHORARRAY('SCF'!$C$16)</definedName>
    <definedName name="OverdraftBCI_deleverage" localSheetId="10">_xlfn.ANCHORARRAY('SCF'!$C$86)</definedName>
    <definedName name="OverdraftBCI_payout" localSheetId="10">_xlfn.ANCHORARRAY('SCF'!$C$51)</definedName>
    <definedName name="OverdraftInterestExpense_base" localSheetId="9">_xlfn.ANCHORARRAY('SCF recursive'!$C$24)</definedName>
    <definedName name="OverdraftInterestExpense_base" localSheetId="10">_xlfn.ANCHORARRAY('SCF'!$C$21)</definedName>
    <definedName name="OverdraftInterestExpense_deleverage" localSheetId="9">_xlfn.ANCHORARRAY('SCF recursive'!$C$94)</definedName>
    <definedName name="OverdraftInterestExpense_deleverage" localSheetId="10">_xlfn.ANCHORARRAY('SCF'!$C$91)</definedName>
    <definedName name="OverdraftInterestExpense_payout" localSheetId="9">_xlfn.ANCHORARRAY('SCF recursive'!$C$59)</definedName>
    <definedName name="OverdraftInterestExpense_payout" localSheetId="10">_xlfn.ANCHORARRAY('SCF'!$C$56)</definedName>
    <definedName name="OverdraftPrev_base" localSheetId="9">_xlfn.ANCHORARRAY('SCF recursive'!$C$19)</definedName>
    <definedName name="OverdraftPrev_deleverage" localSheetId="9">_xlfn.ANCHORARRAY('SCF recursive'!$C$89)</definedName>
    <definedName name="OverdraftPrev_payout" localSheetId="9">_xlfn.ANCHORARRAY('SCF recursive'!$C$54)</definedName>
    <definedName name="OverdraftWarning_base" localSheetId="9">_xlfn.ANCHORARRAY('SCF recursive'!$C$26)</definedName>
    <definedName name="OverdraftWarning_base" localSheetId="10">_xlfn.ANCHORARRAY('SCF'!$C$17)</definedName>
    <definedName name="OverdraftWarning_deleverage" localSheetId="9">_xlfn.ANCHORARRAY('SCF recursive'!$C$96)</definedName>
    <definedName name="OverdraftWarning_deleverage" localSheetId="10">_xlfn.ANCHORARRAY('SCF'!$C$87)</definedName>
    <definedName name="OverdraftWarning_payout" localSheetId="9">_xlfn.ANCHORARRAY('SCF recursive'!$C$61)</definedName>
    <definedName name="OverdraftWarning_payout" localSheetId="10">_xlfn.ANCHORARRAY('SCF'!$C$52)</definedName>
    <definedName name="ParityA_base" localSheetId="11">'SCF recursive'!ParityResidualA_base</definedName>
    <definedName name="ParityA_baseExp" localSheetId="11">'Check'!$B$237:$F$237</definedName>
    <definedName name="ParityA_deleverage" localSheetId="11">'SCF recursive'!ParityResidualA_deleverage</definedName>
    <definedName name="ParityA_deleverageExp" localSheetId="11">'Check'!$B$689:$F$689</definedName>
    <definedName name="ParityA_payout" localSheetId="11">'SCF recursive'!ParityResidualA_payout</definedName>
    <definedName name="ParityA_payoutExp" localSheetId="11">'Check'!$B$463:$F$463</definedName>
    <definedName name="ParityB_base" localSheetId="11">'SCF recursive'!ParityResidualB_base</definedName>
    <definedName name="ParityB_baseExp" localSheetId="11">'Check'!$B$242:$F$242</definedName>
    <definedName name="ParityB_deleverage" localSheetId="11">'SCF recursive'!ParityResidualB_deleverage</definedName>
    <definedName name="ParityB_deleverageExp" localSheetId="11">'Check'!$B$694:$F$694</definedName>
    <definedName name="ParityB_payout" localSheetId="11">'SCF recursive'!ParityResidualB_payout</definedName>
    <definedName name="ParityB_payoutExp" localSheetId="11">'Check'!$B$468:$F$468</definedName>
    <definedName name="ParityResidualA_base" localSheetId="9">_xlfn.ANCHORARRAY('SCF recursive'!$C$29)</definedName>
    <definedName name="ParityResidualA_deleverage" localSheetId="9">_xlfn.ANCHORARRAY('SCF recursive'!$C$99)</definedName>
    <definedName name="ParityResidualA_payout" localSheetId="9">_xlfn.ANCHORARRAY('SCF recursive'!$C$64)</definedName>
    <definedName name="ParityResidualB_base" localSheetId="9">_xlfn.ANCHORARRAY('SCF recursive'!$C$31)</definedName>
    <definedName name="ParityResidualB_base" localSheetId="10">_xlfn.ANCHORARRAY('SCF'!$C$32)</definedName>
    <definedName name="ParityResidualB_deleverage" localSheetId="9">_xlfn.ANCHORARRAY('SCF recursive'!$C$101)</definedName>
    <definedName name="ParityResidualB_deleverage" localSheetId="10">_xlfn.ANCHORARRAY('SCF'!$C$102)</definedName>
    <definedName name="ParityResidualB_payout" localSheetId="9">_xlfn.ANCHORARRAY('SCF recursive'!$C$66)</definedName>
    <definedName name="ParityResidualB_payout" localSheetId="10">_xlfn.ANCHORARRAY('SCF'!$C$67)</definedName>
    <definedName name="Periods" localSheetId="0">IN.SET("periods")</definedName>
    <definedName name="PlusDepreciation_base" localSheetId="8">_xlfn.ANCHORARRAY('FCF'!$C$9)</definedName>
    <definedName name="PlusDepreciation_deleverage" localSheetId="8">_xlfn.ANCHORARRAY('FCF'!$C$45)</definedName>
    <definedName name="PlusDepreciation_payout" localSheetId="8">_xlfn.ANCHORARRAY('FCF'!$C$27)</definedName>
    <definedName name="PlusNetBorrowing_base" localSheetId="8">_xlfn.ANCHORARRAY('FCF'!$C$13)</definedName>
    <definedName name="PlusNetBorrowing_deleverage" localSheetId="8">_xlfn.ANCHORARRAY('FCF'!$C$49)</definedName>
    <definedName name="PlusNetBorrowing_payout" localSheetId="8">_xlfn.ANCHORARRAY('FCF'!$C$31)</definedName>
    <definedName name="PreTaxIncome_base" localSheetId="6">_xlfn.ANCHORARRAY('IS'!$C$19)</definedName>
    <definedName name="PreTaxIncome_deleverage" localSheetId="6">_xlfn.ANCHORARRAY('IS'!$C$57)</definedName>
    <definedName name="PreTaxIncome_payout" localSheetId="6">_xlfn.ANCHORARRAY('IS'!$C$38)</definedName>
    <definedName name="Rates_base" localSheetId="11">tblRates[base]</definedName>
    <definedName name="Rates_baseExp" localSheetId="11">'Check'!$B$71:$B$75</definedName>
    <definedName name="Rates_deleverage" localSheetId="11">tblRates[deleverage]</definedName>
    <definedName name="Rates_deleverageExp" localSheetId="11">'Check'!$B$523:$B$527</definedName>
    <definedName name="Rates_payout" localSheetId="11">tblRates[payout]</definedName>
    <definedName name="Rates_payoutExp" localSheetId="11">'Check'!$B$297:$B$301</definedName>
    <definedName name="RawMaterials_base" localSheetId="7">_xlfn.ANCHORARRAY('BS'!$C$7)</definedName>
    <definedName name="RawMaterials_base" localSheetId="6">_xlfn.ANCHORARRAY('IS'!$C$7)</definedName>
    <definedName name="RawMaterials_deleverage" localSheetId="7">_xlfn.ANCHORARRAY('BS'!$C$83)</definedName>
    <definedName name="RawMaterials_deleverage" localSheetId="6">_xlfn.ANCHORARRAY('IS'!$C$45)</definedName>
    <definedName name="RawMaterials_payout" localSheetId="7">_xlfn.ANCHORARRAY('BS'!$C$45)</definedName>
    <definedName name="RawMaterials_payout" localSheetId="6">_xlfn.ANCHORARRAY('IS'!$C$26)</definedName>
    <definedName name="RawMatUnitCost" localSheetId="2">'LastActuals'!$C$20</definedName>
    <definedName name="RawMatUnitCost_base" localSheetId="4">_xlfn.ANCHORARRAY('SalesCOGS'!$C$10)</definedName>
    <definedName name="RawMatUnitCost_base" localSheetId="1">'Assumpt'!$C$37</definedName>
    <definedName name="RawMatUnitCost_deleverage" localSheetId="4">_xlfn.ANCHORARRAY('SalesCOGS'!$C$26)</definedName>
    <definedName name="RawMatUnitCost_deleverage" localSheetId="1">'Assumpt'!$E$37</definedName>
    <definedName name="RawMatUnitCost_payout" localSheetId="4">_xlfn.ANCHORARRAY('SalesCOGS'!$C$18)</definedName>
    <definedName name="RawMatUnitCost_payout" localSheetId="1">'Assumpt'!$D$37</definedName>
    <definedName name="ReAddChangeInOperatingCash_base" localSheetId="9">_xlfn.ANCHORARRAY('SCF recursive'!$C$9)</definedName>
    <definedName name="ReAddChangeInOperatingCash_base" localSheetId="10">_xlfn.ANCHORARRAY('SCF'!$C$9)</definedName>
    <definedName name="ReAddChangeInOperatingCash_deleverage" localSheetId="9">_xlfn.ANCHORARRAY('SCF recursive'!$C$79)</definedName>
    <definedName name="ReAddChangeInOperatingCash_deleverage" localSheetId="10">_xlfn.ANCHORARRAY('SCF'!$C$79)</definedName>
    <definedName name="ReAddChangeInOperatingCash_payout" localSheetId="9">_xlfn.ANCHORARRAY('SCF recursive'!$C$44)</definedName>
    <definedName name="ReAddChangeInOperatingCash_payout" localSheetId="10">_xlfn.ANCHORARRAY('SCF'!$C$44)</definedName>
    <definedName name="SaleOrPurchaseOfStock_base" localSheetId="7">_xlfn.ANCHORARRAY('BS'!$C$24)</definedName>
    <definedName name="SaleOrPurchaseOfStock_base" localSheetId="9">_xlfn.ANCHORARRAY('SCF recursive'!$C$7)</definedName>
    <definedName name="SaleOrPurchaseOfStock_base" localSheetId="10">_xlfn.ANCHORARRAY('SCF'!$C$7)</definedName>
    <definedName name="SaleOrPurchaseOfStock_deleverage" localSheetId="7">_xlfn.ANCHORARRAY('BS'!$C$100)</definedName>
    <definedName name="SaleOrPurchaseOfStock_deleverage" localSheetId="9">_xlfn.ANCHORARRAY('SCF recursive'!$C$77)</definedName>
    <definedName name="SaleOrPurchaseOfStock_deleverage" localSheetId="10">_xlfn.ANCHORARRAY('SCF'!$C$77)</definedName>
    <definedName name="SaleOrPurchaseOfStock_payout" localSheetId="7">_xlfn.ANCHORARRAY('BS'!$C$62)</definedName>
    <definedName name="SaleOrPurchaseOfStock_payout" localSheetId="9">_xlfn.ANCHORARRAY('SCF recursive'!$C$42)</definedName>
    <definedName name="SaleOrPurchaseOfStock_payout" localSheetId="10">_xlfn.ANCHORARRAY('SCF'!$C$42)</definedName>
    <definedName name="Sales_base" localSheetId="6">_xlfn.ANCHORARRAY('IS'!$C$6)</definedName>
    <definedName name="Sales_deleverage" localSheetId="6">_xlfn.ANCHORARRAY('IS'!$C$44)</definedName>
    <definedName name="Sales_payout" localSheetId="6">_xlfn.ANCHORARRAY('IS'!$C$25)</definedName>
    <definedName name="SalesAndMarketing_base" localSheetId="6">_xlfn.ANCHORARRAY('IS'!$C$10)</definedName>
    <definedName name="SalesAndMarketing_deleverage" localSheetId="6">_xlfn.ANCHORARRAY('IS'!$C$48)</definedName>
    <definedName name="SalesAndMarketing_payout" localSheetId="6">_xlfn.ANCHORARRAY('IS'!$C$29)</definedName>
    <definedName name="SalesCOGS_base" localSheetId="11">_xlfn.VSTACK(SalesCOGS!MarketSize_base, SalesCOGS!MarketShare_base, SalesCOGS!CompanySales_base, SalesCOGS!AvgSalesPrice_base, SalesCOGS!RawMatUnitCost_base, SalesCOGS!DirLabUnitCost_base)</definedName>
    <definedName name="SalesCOGS_baseExp" localSheetId="11">'Check'!$B$8:$F$13</definedName>
    <definedName name="SalesCOGS_deleverage" localSheetId="11">_xlfn.VSTACK(SalesCOGS!MarketSize_deleverage, SalesCOGS!MarketShare_deleverage, SalesCOGS!CompanySales_deleverage, SalesCOGS!AvgSalesPrice_deleverage, SalesCOGS!RawMatUnitCost_deleverage, SalesCOGS!DirLabUnitCost_deleverage)</definedName>
    <definedName name="SalesCOGS_deleverageExp" localSheetId="11">'Check'!$B$478:$F$483</definedName>
    <definedName name="SalesCOGS_payout" localSheetId="11">_xlfn.VSTACK(SalesCOGS!MarketSize_payout, SalesCOGS!MarketShare_payout, SalesCOGS!CompanySales_payout, SalesCOGS!AvgSalesPrice_payout, SalesCOGS!RawMatUnitCost_payout, SalesCOGS!DirLabUnitCost_payout)</definedName>
    <definedName name="SalesCOGS_payoutExp" localSheetId="11">'Check'!$B$252:$F$257</definedName>
    <definedName name="SCF_base" localSheetId="11">_xlfn.VSTACK(SCF!FCFE_base, SCF!SaleOrPurchaseOfStock_base, SCF!Dividends_base, SCF!ReAddChangeInOperatingCash_base, SCF!NCFBCI_base, SCF!NetCashPosition_base, SCF!NetCashPositionBCI_base, SCF!DiscretionaryPrev_base, SCF!DiscretionaryBCI_base, SCF!ExcessBCI_base, SCF!OverdraftBCI_base, SCF!OverdraftWarning_base, SCF!AvgExcessCash_base, SCF!CashInterestIncome_base, SCF!AvgOverdraft_base, SCF!OverdraftInterestExpense_base, SCF!NetCashInterest_base, SCF!AfterTaxCashInterest_base, SCF!NCF_base, SCF!DiscretionaryCash_base, SCF!ExcessCash_base, SCF!BankOverdraft_base, SCF!TotalNonCashNWCChange_base, SCF!DeadNCFViaIncomeAndBSDelta_base, SCF!DeadParityResidualA_base, SCF!NCFViaCashDecomposition_base, SCF!CashInterestShortfall_base, SCF!DiscretionaryCashShortfall_base, SCF!DeadExcessPrev_base, SCF!DeadOverdraftPrev_base, SCF!DeadSwing_base)</definedName>
    <definedName name="SCF_baseExp" localSheetId="11">'Check'!$B$197:$F$227</definedName>
    <definedName name="SCF_deleverage" localSheetId="11">_xlfn.VSTACK(SCF!FCFE_deleverage, SCF!SaleOrPurchaseOfStock_deleverage, SCF!Dividends_deleverage, SCF!ReAddChangeInOperatingCash_deleverage, SCF!NCFBCI_deleverage, SCF!NetCashPosition_deleverage, SCF!NetCashPositionBCI_deleverage, SCF!DiscretionaryPrev_deleverage, SCF!DiscretionaryBCI_deleverage, SCF!ExcessBCI_deleverage, SCF!OverdraftBCI_deleverage, SCF!OverdraftWarning_deleverage, SCF!AvgExcessCash_deleverage, SCF!CashInterestIncome_deleverage, SCF!AvgOverdraft_deleverage, SCF!OverdraftInterestExpense_deleverage, SCF!NetCashInterest_deleverage, SCF!AfterTaxCashInterest_deleverage, SCF!NCF_deleverage, SCF!DiscretionaryCash_deleverage, SCF!ExcessCash_deleverage, SCF!BankOverdraft_deleverage, SCF!TotalNonCashNWCChange_deleverage, SCF!DeadNCFViaIncomeAndBSDelta_deleverage, SCF!DeadParityResidualA_deleverage, SCF!NCFViaCashDecomposition_deleverage, SCF!CashInterestShortfall_deleverage, SCF!DiscretionaryCashShortfall_deleverage, SCF!DeadExcessPrev_deleverage, SCF!DeadOverdraftPrev_deleverage, SCF!DeadSwing_deleverage)</definedName>
    <definedName name="SCF_deleverageExp" localSheetId="11">'Check'!$B$649:$F$679</definedName>
    <definedName name="SCF_payout" localSheetId="11">_xlfn.VSTACK(SCF!FCFE_payout, SCF!SaleOrPurchaseOfStock_payout, SCF!Dividends_payout, SCF!ReAddChangeInOperatingCash_payout, SCF!NCFBCI_payout, SCF!NetCashPosition_payout, SCF!NetCashPositionBCI_payout, SCF!DiscretionaryPrev_payout, SCF!DiscretionaryBCI_payout, SCF!ExcessBCI_payout, SCF!OverdraftBCI_payout, SCF!OverdraftWarning_payout, SCF!AvgExcessCash_payout, SCF!CashInterestIncome_payout, SCF!AvgOverdraft_payout, SCF!OverdraftInterestExpense_payout, SCF!NetCashInterest_payout, SCF!AfterTaxCashInterest_payout, SCF!NCF_payout, SCF!DiscretionaryCash_payout, SCF!ExcessCash_payout, SCF!BankOverdraft_payout, SCF!TotalNonCashNWCChange_payout, SCF!DeadNCFViaIncomeAndBSDelta_payout, SCF!DeadParityResidualA_payout, SCF!NCFViaCashDecomposition_payout, SCF!CashInterestShortfall_payout, SCF!DiscretionaryCashShortfall_payout, SCF!DeadExcessPrev_payout, SCF!DeadOverdraftPrev_payout, SCF!DeadSwing_payout)</definedName>
    <definedName name="SCF_payoutExp" localSheetId="11">'Check'!$B$423:$F$453</definedName>
    <definedName name="SCFParityB_base" localSheetId="11">SCF!ParityResidualB_base</definedName>
    <definedName name="SCFParityB_baseExp" localSheetId="11">'Check'!$B$247:$F$247</definedName>
    <definedName name="SCFParityB_deleverage" localSheetId="11">SCF!ParityResidualB_deleverage</definedName>
    <definedName name="SCFParityB_deleverageExp" localSheetId="11">'Check'!$B$699:$F$699</definedName>
    <definedName name="SCFParityB_payout" localSheetId="11">SCF!ParityResidualB_payout</definedName>
    <definedName name="SCFParityB_payoutExp" localSheetId="11">'Check'!$B$473:$F$473</definedName>
    <definedName name="SCFrecursive_base" localSheetId="11">_xlfn.VSTACK('SCF recursive'!FCFE_base, 'SCF recursive'!SaleOrPurchaseOfStock_base, 'SCF recursive'!Dividends_base, 'SCF recursive'!ReAddChangeInOperatingCash_base, 'SCF recursive'!NCFBCI_base, 'SCF recursive'!AfterTaxCashInterest_base, 'SCF recursive'!NCF_base, 'SCF recursive'!NetCashPosition_base, 'SCF recursive'!DiscretionaryCash_base, 'SCF recursive'!ExcessCash_base, 'SCF recursive'!BankOverdraft_base, 'SCF recursive'!DiscretionaryPrev_base, 'SCF recursive'!ExcessPrev_base, 'SCF recursive'!OverdraftPrev_base, 'SCF recursive'!Swing_base, 'SCF recursive'!AvgExcessCash_base, 'SCF recursive'!AvgOverdraft_base, 'SCF recursive'!CashInterestIncome_base, 'SCF recursive'!OverdraftInterestExpense_base, 'SCF recursive'!NetCashInterest_base, 'SCF recursive'!OverdraftWarning_base, 'SCF recursive'!TotalNonCashNWCChange_base, 'SCF recursive'!NCFViaIncomeAndBSDelta_base, 'SCF recursive'!NCFViaCashDecomposition_base, 'SCF recursive'!DeadNetCashPositionBCI_base, 'SCF recursive'!DeadDiscretionaryBCI_base, 'SCF recursive'!DeadExcessBCI_base, 'SCF recursive'!DeadOverdraftBCI_base, 'SCF recursive'!DeadCashInterestShortfall_base, 'SCF recursive'!DeadDiscretionaryCashShortfall_base)</definedName>
    <definedName name="SCFrecursive_baseExp" localSheetId="11">'Check'!$B$163:$F$192</definedName>
    <definedName name="SCFrecursive_deleverage" localSheetId="11">_xlfn.VSTACK('SCF recursive'!FCFE_deleverage, 'SCF recursive'!SaleOrPurchaseOfStock_deleverage, 'SCF recursive'!Dividends_deleverage, 'SCF recursive'!ReAddChangeInOperatingCash_deleverage, 'SCF recursive'!NCFBCI_deleverage, 'SCF recursive'!AfterTaxCashInterest_deleverage, 'SCF recursive'!NCF_deleverage, 'SCF recursive'!NetCashPosition_deleverage, 'SCF recursive'!DiscretionaryCash_deleverage, 'SCF recursive'!ExcessCash_deleverage, 'SCF recursive'!BankOverdraft_deleverage, 'SCF recursive'!DiscretionaryPrev_deleverage, 'SCF recursive'!ExcessPrev_deleverage, 'SCF recursive'!OverdraftPrev_deleverage, 'SCF recursive'!Swing_deleverage, 'SCF recursive'!AvgExcessCash_deleverage, 'SCF recursive'!AvgOverdraft_deleverage, 'SCF recursive'!CashInterestIncome_deleverage, 'SCF recursive'!OverdraftInterestExpense_deleverage, 'SCF recursive'!NetCashInterest_deleverage, 'SCF recursive'!OverdraftWarning_deleverage, 'SCF recursive'!TotalNonCashNWCChange_deleverage, 'SCF recursive'!NCFViaIncomeAndBSDelta_deleverage, 'SCF recursive'!NCFViaCashDecomposition_deleverage, 'SCF recursive'!DeadNetCashPositionBCI_deleverage, 'SCF recursive'!DeadDiscretionaryBCI_deleverage, 'SCF recursive'!DeadExcessBCI_deleverage, 'SCF recursive'!DeadOverdraftBCI_deleverage, 'SCF recursive'!DeadCashInterestShortfall_deleverage, 'SCF recursive'!DeadDiscretionaryCashShortfall_deleverage)</definedName>
    <definedName name="SCFrecursive_deleverageExp" localSheetId="11">'Check'!$B$615:$F$644</definedName>
    <definedName name="SCFrecursive_payout" localSheetId="11">_xlfn.VSTACK('SCF recursive'!FCFE_payout, 'SCF recursive'!SaleOrPurchaseOfStock_payout, 'SCF recursive'!Dividends_payout, 'SCF recursive'!ReAddChangeInOperatingCash_payout, 'SCF recursive'!NCFBCI_payout, 'SCF recursive'!AfterTaxCashInterest_payout, 'SCF recursive'!NCF_payout, 'SCF recursive'!NetCashPosition_payout, 'SCF recursive'!DiscretionaryCash_payout, 'SCF recursive'!ExcessCash_payout, 'SCF recursive'!BankOverdraft_payout, 'SCF recursive'!DiscretionaryPrev_payout, 'SCF recursive'!ExcessPrev_payout, 'SCF recursive'!OverdraftPrev_payout, 'SCF recursive'!Swing_payout, 'SCF recursive'!AvgExcessCash_payout, 'SCF recursive'!AvgOverdraft_payout, 'SCF recursive'!CashInterestIncome_payout, 'SCF recursive'!OverdraftInterestExpense_payout, 'SCF recursive'!NetCashInterest_payout, 'SCF recursive'!OverdraftWarning_payout, 'SCF recursive'!TotalNonCashNWCChange_payout, 'SCF recursive'!NCFViaIncomeAndBSDelta_payout, 'SCF recursive'!NCFViaCashDecomposition_payout, 'SCF recursive'!DeadNetCashPositionBCI_payout, 'SCF recursive'!DeadDiscretionaryBCI_payout, 'SCF recursive'!DeadExcessBCI_payout, 'SCF recursive'!DeadOverdraftBCI_payout, 'SCF recursive'!DeadCashInterestShortfall_payout, 'SCF recursive'!DeadDiscretionaryCashShortfall_payout)</definedName>
    <definedName name="SCFrecursive_payoutExp" localSheetId="11">'Check'!$B$389:$F$418</definedName>
    <definedName name="SelfTest" localSheetId="11">'Check'!$B$705</definedName>
    <definedName name="StartYear" localSheetId="0">IN.SET("start year")</definedName>
    <definedName name="StockholdersEquity_base" localSheetId="7">_xlfn.ANCHORARRAY('BS'!$C$25)</definedName>
    <definedName name="StockholdersEquity_deleverage" localSheetId="7">_xlfn.ANCHORARRAY('BS'!$C$101)</definedName>
    <definedName name="StockholdersEquity_payout" localSheetId="7">_xlfn.ANCHORARRAY('BS'!$C$63)</definedName>
    <definedName name="Swing_base" localSheetId="9">_xlfn.ANCHORARRAY('SCF recursive'!$C$20)</definedName>
    <definedName name="Swing_deleverage" localSheetId="9">_xlfn.ANCHORARRAY('SCF recursive'!$C$90)</definedName>
    <definedName name="Swing_payout" localSheetId="9">_xlfn.ANCHORARRAY('SCF recursive'!$C$55)</definedName>
    <definedName name="Tol" localSheetId="11">'Check'!$B$3</definedName>
    <definedName name="TotalAssets_base" localSheetId="7">_xlfn.ANCHORARRAY('BS'!$C$19)</definedName>
    <definedName name="TotalAssets_deleverage" localSheetId="7">_xlfn.ANCHORARRAY('BS'!$C$95)</definedName>
    <definedName name="TotalAssets_payout" localSheetId="7">_xlfn.ANCHORARRAY('BS'!$C$57)</definedName>
    <definedName name="TotalLiabilitiesAndEquity_base" localSheetId="7">_xlfn.ANCHORARRAY('BS'!$C$26)</definedName>
    <definedName name="TotalLiabilitiesAndEquity_deleverage" localSheetId="7">_xlfn.ANCHORARRAY('BS'!$C$102)</definedName>
    <definedName name="TotalLiabilitiesAndEquity_payout" localSheetId="7">_xlfn.ANCHORARRAY('BS'!$C$64)</definedName>
    <definedName name="TotalNetOperatingAssets_base" localSheetId="7">_xlfn.ANCHORARRAY('BS'!$C$16)</definedName>
    <definedName name="TotalNetOperatingAssets_deleverage" localSheetId="7">_xlfn.ANCHORARRAY('BS'!$C$92)</definedName>
    <definedName name="TotalNetOperatingAssets_payout" localSheetId="7">_xlfn.ANCHORARRAY('BS'!$C$54)</definedName>
    <definedName name="TotalNonCashNWCChange_base" localSheetId="9">_xlfn.ANCHORARRAY('SCF recursive'!$C$27)</definedName>
    <definedName name="TotalNonCashNWCChange_base" localSheetId="10">_xlfn.ANCHORARRAY('SCF'!$C$28)</definedName>
    <definedName name="TotalNonCashNWCChange_deleverage" localSheetId="9">_xlfn.ANCHORARRAY('SCF recursive'!$C$97)</definedName>
    <definedName name="TotalNonCashNWCChange_deleverage" localSheetId="10">_xlfn.ANCHORARRAY('SCF'!$C$98)</definedName>
    <definedName name="TotalNonCashNWCChange_payout" localSheetId="9">_xlfn.ANCHORARRAY('SCF recursive'!$C$62)</definedName>
    <definedName name="TotalNonCashNWCChange_payout" localSheetId="10">_xlfn.ANCHORARRAY('SCF'!$C$63)</definedName>
    <definedName name="Unbalance_base" localSheetId="7">_xlfn.ANCHORARRAY('BS'!$C$27)</definedName>
    <definedName name="Unbalance_base" localSheetId="11">BS!Unbalance_base</definedName>
    <definedName name="Unbalance_baseExp" localSheetId="11">'Check'!$B$232:$F$232</definedName>
    <definedName name="Unbalance_deleverage" localSheetId="7">_xlfn.ANCHORARRAY('BS'!$C$103)</definedName>
    <definedName name="Unbalance_deleverage" localSheetId="11">BS!Unbalance_deleverage</definedName>
    <definedName name="Unbalance_deleverageExp" localSheetId="11">'Check'!$B$684:$F$684</definedName>
    <definedName name="Unbalance_payout" localSheetId="7">_xlfn.ANCHORARRAY('BS'!$C$65)</definedName>
    <definedName name="Unbalance_payout" localSheetId="11">BS!Unbalance_payout</definedName>
    <definedName name="Unbalance_payoutExp" localSheetId="11">'Check'!$B$458:$F$458</definedName>
    <definedName name="UnleveredNetIncome_base" localSheetId="8">_xlfn.ANCHORARRAY('FCF'!$C$8)</definedName>
    <definedName name="UnleveredNetIncome_deleverage" localSheetId="8">_xlfn.ANCHORARRAY('FCF'!$C$44)</definedName>
    <definedName name="UnleveredNetIncome_payout" localSheetId="8">_xlfn.ANCHORARRAY('FCF'!$C$26)</definedName>
    <definedName name="WagesPayable_base" localSheetId="7">_xlfn.ANCHORARRAY('BS'!$C$9)</definedName>
    <definedName name="WagesPayable_deleverage" localSheetId="7">_xlfn.ANCHORARRAY('BS'!$C$85)</definedName>
    <definedName name="WagesPayable_payout" localSheetId="7">_xlfn.ANCHORARRAY('BS'!$C$47)</definedName>
    <definedName name="Years" localSheetId="0">_xlfn.ANCHORARRAY('Model'!$C$11)</definedName>
  </definedNames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<sst xmlns="http://schemas.openxmlformats.org/spreadsheetml/2006/main" count="2609" uniqueCount="730">
  <si>
    <t>LBO episode 03, revised — the obvious reproduction, which is a circular reference</t>
  </si>
  <si>
    <t>A reproduction of the Episode 3 model of The Workbench, built from a text description by a script rather than typed by hand. Inputs are in the Tables on Assumpt, LastActuals and Rates.</t>
  </si>
  <si>
    <t>Reference: the Impromptu model of Episode 3, as of 24 September 2026.</t>
  </si>
  <si>
    <t>scenario axis: 3 coordinate(s) — base (base), payout (payout), deleverage (deleverage). Impromptu carries this as a DIMENSION; here it is a table column plus a name suffix, emitted per coordinate by the build step.</t>
  </si>
  <si>
    <t>Settings</t>
  </si>
  <si>
    <t>item</t>
  </si>
  <si>
    <t>value</t>
  </si>
  <si>
    <t>start year</t>
  </si>
  <si>
    <t>periods</t>
  </si>
  <si>
    <t>Timeline</t>
  </si>
  <si>
    <t>years</t>
  </si>
  <si>
    <t>Years</t>
  </si>
  <si>
    <t>Impromptu equivalent</t>
  </si>
  <si>
    <t>model dim `year` = ['2022'..'2026'] — an object, not a formula</t>
  </si>
  <si>
    <t>Fixed-point solver</t>
  </si>
  <si>
    <t>fixed-point tolerance</t>
  </si>
  <si>
    <t>FixTol</t>
  </si>
  <si>
    <t>relative change, measured as the engine measures it (_max_rel_delta)</t>
  </si>
  <si>
    <t>fixed-point iteration cap</t>
  </si>
  <si>
    <t>FixCap</t>
  </si>
  <si>
    <t>REDUCE visits SEQUENCE(cap); after convergence each visit is a lazy no-op</t>
  </si>
  <si>
    <t>Assumptions — inputs and derived unit economics</t>
  </si>
  <si>
    <t>Impromptu dataset: Assumpt — 27 input coordinates, 4 computed; 3 scenario columns</t>
  </si>
  <si>
    <t>base</t>
  </si>
  <si>
    <t>payout</t>
  </si>
  <si>
    <t>deleverage</t>
  </si>
  <si>
    <t>equity purchase price</t>
  </si>
  <si>
    <t>market size g</t>
  </si>
  <si>
    <t>market share g</t>
  </si>
  <si>
    <t>avg sales price g</t>
  </si>
  <si>
    <t>raw material unit cost g</t>
  </si>
  <si>
    <t>direct labor unit cost g</t>
  </si>
  <si>
    <t>sales mktg expense on sales</t>
  </si>
  <si>
    <t>admin expense on sales</t>
  </si>
  <si>
    <t>operating cash days</t>
  </si>
  <si>
    <t>AR days</t>
  </si>
  <si>
    <t>raw materials days</t>
  </si>
  <si>
    <t>finished goods days</t>
  </si>
  <si>
    <t>wages payable days</t>
  </si>
  <si>
    <t>other AP days</t>
  </si>
  <si>
    <t>initial net fixed assets</t>
  </si>
  <si>
    <t>avg depreciation on NFA</t>
  </si>
  <si>
    <t>capex pct of sales change</t>
  </si>
  <si>
    <t>initial total cash</t>
  </si>
  <si>
    <t>company sales 000units</t>
  </si>
  <si>
    <t>market size 000units</t>
  </si>
  <si>
    <t>Sales t0</t>
  </si>
  <si>
    <t>Raw Materials t0</t>
  </si>
  <si>
    <t>Direct Labor Costs t0</t>
  </si>
  <si>
    <t>Sales and Marketing t0</t>
  </si>
  <si>
    <t>Administrative t0</t>
  </si>
  <si>
    <t>Depreciation t0</t>
  </si>
  <si>
    <t>Interest expenses t0</t>
  </si>
  <si>
    <t>Computed coordinates</t>
  </si>
  <si>
    <t>Excel name</t>
  </si>
  <si>
    <t>Impromptu clause</t>
  </si>
  <si>
    <t>Impromptu keeps these on the same axis as the inputs above. They cannot live in the table: the accessor looks up the whole value column, so a formula in that column calling the accessor is a circular reference.</t>
  </si>
  <si>
    <t>market share</t>
  </si>
  <si>
    <t>MarketShare_base</t>
  </si>
  <si>
    <t>market share = company sales 000units / market size 000units</t>
  </si>
  <si>
    <t>avg sales price</t>
  </si>
  <si>
    <t>AvgSalesPrice_base</t>
  </si>
  <si>
    <t>avg sales price = Sales t0 / company sales 000units</t>
  </si>
  <si>
    <t>raw material unit cost</t>
  </si>
  <si>
    <t>RawMatUnitCost_base</t>
  </si>
  <si>
    <t>raw material unit cost = -Raw Materials t0 / company sales 000units</t>
  </si>
  <si>
    <t>direct labor unit cost</t>
  </si>
  <si>
    <t>DirLabUnitCost_base</t>
  </si>
  <si>
    <t>direct labor unit cost = -Direct Labor Costs t0 / company sales 000units</t>
  </si>
  <si>
    <t>Last actual year (2022) — the seeds every growth chain starts from</t>
  </si>
  <si>
    <t>Impromptu dataset: LastActuals — 10 input coordinates, 4 computed — NO scenario axis in the reference model, so ONE value column shared by every scenario</t>
  </si>
  <si>
    <t>Sales</t>
  </si>
  <si>
    <t>Raw Materials</t>
  </si>
  <si>
    <t>Direct Labor Costs</t>
  </si>
  <si>
    <t>Sales and Marketing</t>
  </si>
  <si>
    <t>Administrative</t>
  </si>
  <si>
    <t>Depreciation</t>
  </si>
  <si>
    <t>Interest expenses</t>
  </si>
  <si>
    <t>last Actual Year</t>
  </si>
  <si>
    <t>MarketShare</t>
  </si>
  <si>
    <t>AvgSalesPrice</t>
  </si>
  <si>
    <t>avg sales price = Sales / company sales 000units</t>
  </si>
  <si>
    <t>RawMatUnitCost</t>
  </si>
  <si>
    <t>raw material unit cost = -Raw Materials / company sales 000units</t>
  </si>
  <si>
    <t>DirLabUnitCost</t>
  </si>
  <si>
    <t>direct labor unit cost = -Direct Labor Costs / company sales 000units</t>
  </si>
  <si>
    <t>Rates — tax and financing rates</t>
  </si>
  <si>
    <t>Impromptu dataset: Rates — 5 input coordinates, 0 computed; 3 scenario columns</t>
  </si>
  <si>
    <t>overdraft interest rate</t>
  </si>
  <si>
    <t>cost of debt</t>
  </si>
  <si>
    <t>tax rate</t>
  </si>
  <si>
    <t>excess cash interest rate</t>
  </si>
  <si>
    <t>dividends pct of FCFE</t>
  </si>
  <si>
    <t>TRANSCRIBED</t>
  </si>
  <si>
    <t>Impromptu computes this as ValParams.rD. ValParams is E4's dataset and E4 stays on lbo-ep02, so this one value is transcribed, not derived.</t>
  </si>
  <si>
    <t>SalesCOGS — quantity and price block</t>
  </si>
  <si>
    <t>Impromptu dataset: SalesCOGS — 6 line items x 5 years, 11 formula clauses. Here: 6 anchor cells.</t>
  </si>
  <si>
    <t>Nothing may be placed to the right of column G: the blocks spill into it.</t>
  </si>
  <si>
    <t>line item — scenario `base`</t>
  </si>
  <si>
    <t>MarketSize_base</t>
  </si>
  <si>
    <t>CompanySales_base</t>
  </si>
  <si>
    <t>line item — scenario `payout`</t>
  </si>
  <si>
    <t>MarketSize_payout</t>
  </si>
  <si>
    <t>MarketShare_payout</t>
  </si>
  <si>
    <t>CompanySales_payout</t>
  </si>
  <si>
    <t>AvgSalesPrice_payout</t>
  </si>
  <si>
    <t>RawMatUnitCost_payout</t>
  </si>
  <si>
    <t>DirLabUnitCost_payout</t>
  </si>
  <si>
    <t>line item — scenario `deleverage`</t>
  </si>
  <si>
    <t>MarketSize_deleverage</t>
  </si>
  <si>
    <t>MarketShare_deleverage</t>
  </si>
  <si>
    <t>CompanySales_deleverage</t>
  </si>
  <si>
    <t>AvgSalesPrice_deleverage</t>
  </si>
  <si>
    <t>RawMatUnitCost_deleverage</t>
  </si>
  <si>
    <t>DirLabUnitCost_deleverage</t>
  </si>
  <si>
    <t>Translation table — Impromptu clause to Excel name</t>
  </si>
  <si>
    <t>market size 000units[year:first] = LastActuals.market size 000units</t>
  </si>
  <si>
    <t>market size 000units[year:rest] = market size 000units[year:prev] * (1 + Assumpt.market size g)</t>
  </si>
  <si>
    <t>market share[year:first] = LastActuals.market share</t>
  </si>
  <si>
    <t>market share[year:rest] = market share[year:prev] * (1 + Assumpt.market share g)</t>
  </si>
  <si>
    <t>company sales 000units = market size 000units * market share</t>
  </si>
  <si>
    <t>avg sales price[year:first] = LastActuals.avg sales price</t>
  </si>
  <si>
    <t>avg sales price[year:rest] = avg sales price[year:prev] * (1 + Assumpt.avg sales price g)</t>
  </si>
  <si>
    <t>raw material unit cost[year:first] = LastActuals.raw material unit cost</t>
  </si>
  <si>
    <t>raw material unit cost[year:rest] = raw material unit cost[year:prev] * (1 + Assumpt.raw material unit cost g)</t>
  </si>
  <si>
    <t>direct labor unit cost[year:first] = LastActuals.direct labor unit cost</t>
  </si>
  <si>
    <t>direct labor unit cost[year:rest] = direct labor unit cost[year:prev] * (1 + Assumpt.direct labor unit cost g)</t>
  </si>
  <si>
    <t>11 Impromptu clauses -&gt; 6 Excel anchor cells.</t>
  </si>
  <si>
    <t>FinDebt — the debt schedule and its interest</t>
  </si>
  <si>
    <t>Impromptu dataset: FinDebt — 2 line items x 5 years, 1 formula clause. `Outstanding debt` is an INPUT schedule: debt is exogenous in episode 3 too, so the classic LBO interest/cash-flow loop is still cut at the source. The loop episode 3 DOES switch on is cash interest, in SCF.</t>
  </si>
  <si>
    <t>Outstanding debt</t>
  </si>
  <si>
    <t>OutstandingDebt_base</t>
  </si>
  <si>
    <t>Interest</t>
  </si>
  <si>
    <t>Interest_base</t>
  </si>
  <si>
    <t>OutstandingDebt_payout</t>
  </si>
  <si>
    <t>Interest_payout</t>
  </si>
  <si>
    <t>OutstandingDebt_deleverage</t>
  </si>
  <si>
    <t>Interest_deleverage</t>
  </si>
  <si>
    <t>Interest = Outstanding debt[year:prev] * Rates.cost of debt</t>
  </si>
  <si>
    <t>1 Impromptu clauses -&gt; 1 Excel anchor cells, emitted 3x for 3 scenarios = 3.</t>
  </si>
  <si>
    <t>IS — income statement</t>
  </si>
  <si>
    <t>Impromptu dataset: IS — 16 line items x 5 years, 23 formula clauses. The two cash-interest lines are where the loop CLOSES: they read SCF recursive's average balances at the same year, and those balances include this interest. Costs carry a negative sign.</t>
  </si>
  <si>
    <t>Sales_base</t>
  </si>
  <si>
    <t>RawMaterials_base</t>
  </si>
  <si>
    <t>DirectLaborCosts_base</t>
  </si>
  <si>
    <t>Gross Profit</t>
  </si>
  <si>
    <t>GrossProfit_base</t>
  </si>
  <si>
    <t>SalesAndMarketing_base</t>
  </si>
  <si>
    <t>Administrative_base</t>
  </si>
  <si>
    <t>EBITDA</t>
  </si>
  <si>
    <t>EBITDA_base</t>
  </si>
  <si>
    <t>Depreciation_base</t>
  </si>
  <si>
    <t>EBIT</t>
  </si>
  <si>
    <t>EBIT_base</t>
  </si>
  <si>
    <t>Interest on financial debt</t>
  </si>
  <si>
    <t>InterestOnFinancialDebt_base</t>
  </si>
  <si>
    <t>Interest income on excess cash</t>
  </si>
  <si>
    <t>InterestIncomeOnExcessCash_base</t>
  </si>
  <si>
    <t>Interest expense on bank overdraft</t>
  </si>
  <si>
    <t>InterestExpenseOnBankOverdraft_base</t>
  </si>
  <si>
    <t>Net financial result</t>
  </si>
  <si>
    <t>NetFinancialResult_base</t>
  </si>
  <si>
    <t>Pre tax income</t>
  </si>
  <si>
    <t>PreTaxIncome_base</t>
  </si>
  <si>
    <t>Income taxes</t>
  </si>
  <si>
    <t>IncomeTaxes_base</t>
  </si>
  <si>
    <t>Net income</t>
  </si>
  <si>
    <t>NetIncome_base</t>
  </si>
  <si>
    <t>Sales_payout</t>
  </si>
  <si>
    <t>RawMaterials_payout</t>
  </si>
  <si>
    <t>DirectLaborCosts_payout</t>
  </si>
  <si>
    <t>GrossProfit_payout</t>
  </si>
  <si>
    <t>SalesAndMarketing_payout</t>
  </si>
  <si>
    <t>Administrative_payout</t>
  </si>
  <si>
    <t>EBITDA_payout</t>
  </si>
  <si>
    <t>Depreciation_payout</t>
  </si>
  <si>
    <t>EBIT_payout</t>
  </si>
  <si>
    <t>InterestOnFinancialDebt_payout</t>
  </si>
  <si>
    <t>InterestIncomeOnExcessCash_payout</t>
  </si>
  <si>
    <t>InterestExpenseOnBankOverdraft_payout</t>
  </si>
  <si>
    <t>NetFinancialResult_payout</t>
  </si>
  <si>
    <t>PreTaxIncome_payout</t>
  </si>
  <si>
    <t>IncomeTaxes_payout</t>
  </si>
  <si>
    <t>NetIncome_payout</t>
  </si>
  <si>
    <t>Sales_deleverage</t>
  </si>
  <si>
    <t>RawMaterials_deleverage</t>
  </si>
  <si>
    <t>DirectLaborCosts_deleverage</t>
  </si>
  <si>
    <t>GrossProfit_deleverage</t>
  </si>
  <si>
    <t>SalesAndMarketing_deleverage</t>
  </si>
  <si>
    <t>Administrative_deleverage</t>
  </si>
  <si>
    <t>EBITDA_deleverage</t>
  </si>
  <si>
    <t>Depreciation_deleverage</t>
  </si>
  <si>
    <t>EBIT_deleverage</t>
  </si>
  <si>
    <t>InterestOnFinancialDebt_deleverage</t>
  </si>
  <si>
    <t>InterestIncomeOnExcessCash_deleverage</t>
  </si>
  <si>
    <t>InterestExpenseOnBankOverdraft_deleverage</t>
  </si>
  <si>
    <t>NetFinancialResult_deleverage</t>
  </si>
  <si>
    <t>PreTaxIncome_deleverage</t>
  </si>
  <si>
    <t>IncomeTaxes_deleverage</t>
  </si>
  <si>
    <t>NetIncome_deleverage</t>
  </si>
  <si>
    <t>Sales[year:first] = LastActuals.Sales</t>
  </si>
  <si>
    <t>Sales[year:rest] = SalesCOGS.company sales 000units * SalesCOGS.avg sales price</t>
  </si>
  <si>
    <t>Raw Materials[year:first] = LastActuals.Raw Materials</t>
  </si>
  <si>
    <t>Raw Materials[year:rest] = -(SalesCOGS.company sales 000units) * SalesCOGS.raw material unit cost</t>
  </si>
  <si>
    <t>Direct Labor Costs[year:first] = LastActuals.Direct Labor Costs</t>
  </si>
  <si>
    <t>Direct Labor Costs[year:rest] = -(SalesCOGS.company sales 000units) * SalesCOGS.direct labor unit cost</t>
  </si>
  <si>
    <t>Gross Profit = Sales + Raw Materials + Direct Labor Costs</t>
  </si>
  <si>
    <t>Sales and Marketing[year:first] = LastActuals.Sales and Marketing</t>
  </si>
  <si>
    <t>Sales and Marketing[year:rest] = -Sales * Assumpt.sales mktg expense on sales</t>
  </si>
  <si>
    <t>Administrative[year:first] = LastActuals.Administrative</t>
  </si>
  <si>
    <t>Administrative[year:rest] = -Sales * Assumpt.admin expense on sales</t>
  </si>
  <si>
    <t>EBITDA = Gross Profit + Sales and Marketing + Administrative</t>
  </si>
  <si>
    <t>Depreciation[year:first] = LastActuals.Depreciation</t>
  </si>
  <si>
    <t>Depreciation[year:rest] = BS.value[Depreciation]</t>
  </si>
  <si>
    <t>EBIT = EBITDA + Depreciation</t>
  </si>
  <si>
    <t>Interest on financial debt[year:first] = -(LastActuals.Interest expenses)</t>
  </si>
  <si>
    <t>Interest on financial debt[year:rest] = - FinDebt.Interest</t>
  </si>
  <si>
    <t>Interest income on excess cash[year:rest] = Rates.excess cash interest rate * SCF recursive.Avg excess cash</t>
  </si>
  <si>
    <t>Interest expense on bank overdraft[year:rest] = -(Rates.overdraft interest rate * SCF recursive.Avg overdraft)</t>
  </si>
  <si>
    <t>Net financial result = Interest on financial debt+Interest income on excess cash+Interest expense on bank overdraft</t>
  </si>
  <si>
    <t>Pre tax income = EBIT + Net financial result</t>
  </si>
  <si>
    <t>Income taxes = -Pre tax income * Rates.tax rate</t>
  </si>
  <si>
    <t>Net income = Pre tax income + Income taxes</t>
  </si>
  <si>
    <t>23 Impromptu clauses -&gt; 16 Excel anchor cells, emitted 3x for 3 scenarios = 48.</t>
  </si>
  <si>
    <t>BS — balance sheet</t>
  </si>
  <si>
    <t>Impromptu dataset: BS — 22 line items x 5 years plus a second data array (`delta`), 27 formula clauses. 21 anchors, because the fixed-asset roll-forward is ONE anchor for TWO line items. New at episode 3: `Minimum operating cash`, which joins the NWC group and is what the cash policy holds back before paying anything out.</t>
  </si>
  <si>
    <t>accounts receivable</t>
  </si>
  <si>
    <t>AccountsReceivable_base</t>
  </si>
  <si>
    <t>raw materials</t>
  </si>
  <si>
    <t>finished goods</t>
  </si>
  <si>
    <t>FinishedGoods_base</t>
  </si>
  <si>
    <t>wages payable</t>
  </si>
  <si>
    <t>WagesPayable_base</t>
  </si>
  <si>
    <t>other accounts payable</t>
  </si>
  <si>
    <t>OtherAccountsPayable_base</t>
  </si>
  <si>
    <t>Minimum operating cash</t>
  </si>
  <si>
    <t>MinimumOperatingCash_base</t>
  </si>
  <si>
    <t>Net working capital</t>
  </si>
  <si>
    <t>NetWorkingCapital_base</t>
  </si>
  <si>
    <t>Capital expenditures</t>
  </si>
  <si>
    <t>CapitalExpenditures_base</t>
  </si>
  <si>
    <t>Net fixed assets</t>
  </si>
  <si>
    <t>NetFixedAssets_base</t>
  </si>
  <si>
    <t>Total net operating assets</t>
  </si>
  <si>
    <t>TotalNetOperatingAssets_base</t>
  </si>
  <si>
    <t>Goodwill</t>
  </si>
  <si>
    <t>Goodwill_base</t>
  </si>
  <si>
    <t>Excess cash</t>
  </si>
  <si>
    <t>ExcessCash_base</t>
  </si>
  <si>
    <t>Total assets</t>
  </si>
  <si>
    <t>TotalAssets_base</t>
  </si>
  <si>
    <t>Financial debt</t>
  </si>
  <si>
    <t>FinancialDebt_base</t>
  </si>
  <si>
    <t>Bank overdraft</t>
  </si>
  <si>
    <t>BankOverdraft_base</t>
  </si>
  <si>
    <t>Net Income</t>
  </si>
  <si>
    <t>Dividends</t>
  </si>
  <si>
    <t>Dividends_base</t>
  </si>
  <si>
    <t>Sale or Purchase of Stock</t>
  </si>
  <si>
    <t>SaleOrPurchaseOfStock_base</t>
  </si>
  <si>
    <t>Stockholders Equity</t>
  </si>
  <si>
    <t>StockholdersEquity_base</t>
  </si>
  <si>
    <t>Total Liabilities and Equity</t>
  </si>
  <si>
    <t>TotalLiabilitiesAndEquity_base</t>
  </si>
  <si>
    <t>Unbalance</t>
  </si>
  <si>
    <t>Unbalance_base</t>
  </si>
  <si>
    <t>`delta` — a SECOND data array over the same coordinates. One array-level clause in Impromptu; one anchor per coordinate here, and only for the three anything reads. A single 21-row block would be a circular reference.</t>
  </si>
  <si>
    <t>delta line item — scenario `base`</t>
  </si>
  <si>
    <t>DeltaNetWorkingCapital_base</t>
  </si>
  <si>
    <t>DeltaFinancialDebt_base</t>
  </si>
  <si>
    <t>DeltaNetFixedAssets_base</t>
  </si>
  <si>
    <t>DeltaMinimumOperatingCash_base</t>
  </si>
  <si>
    <t>DeltaAccountsReceivable_base</t>
  </si>
  <si>
    <t>DeltaRawMaterials_base</t>
  </si>
  <si>
    <t>DeltaFinishedGoods_base</t>
  </si>
  <si>
    <t>DeltaOtherAccountsPayable_base</t>
  </si>
  <si>
    <t>DeltaWagesPayable_base</t>
  </si>
  <si>
    <t>AccountsReceivable_payout</t>
  </si>
  <si>
    <t>FinishedGoods_payout</t>
  </si>
  <si>
    <t>WagesPayable_payout</t>
  </si>
  <si>
    <t>OtherAccountsPayable_payout</t>
  </si>
  <si>
    <t>MinimumOperatingCash_payout</t>
  </si>
  <si>
    <t>NetWorkingCapital_payout</t>
  </si>
  <si>
    <t>CapitalExpenditures_payout</t>
  </si>
  <si>
    <t>NetFixedAssets_payout</t>
  </si>
  <si>
    <t>TotalNetOperatingAssets_payout</t>
  </si>
  <si>
    <t>Goodwill_payout</t>
  </si>
  <si>
    <t>ExcessCash_payout</t>
  </si>
  <si>
    <t>TotalAssets_payout</t>
  </si>
  <si>
    <t>FinancialDebt_payout</t>
  </si>
  <si>
    <t>BankOverdraft_payout</t>
  </si>
  <si>
    <t>Dividends_payout</t>
  </si>
  <si>
    <t>SaleOrPurchaseOfStock_payout</t>
  </si>
  <si>
    <t>StockholdersEquity_payout</t>
  </si>
  <si>
    <t>TotalLiabilitiesAndEquity_payout</t>
  </si>
  <si>
    <t>Unbalance_payout</t>
  </si>
  <si>
    <t>delta line item — scenario `payout`</t>
  </si>
  <si>
    <t>DeltaNetWorkingCapital_payout</t>
  </si>
  <si>
    <t>DeltaFinancialDebt_payout</t>
  </si>
  <si>
    <t>DeltaNetFixedAssets_payout</t>
  </si>
  <si>
    <t>DeltaMinimumOperatingCash_payout</t>
  </si>
  <si>
    <t>DeltaAccountsReceivable_payout</t>
  </si>
  <si>
    <t>DeltaRawMaterials_payout</t>
  </si>
  <si>
    <t>DeltaFinishedGoods_payout</t>
  </si>
  <si>
    <t>DeltaOtherAccountsPayable_payout</t>
  </si>
  <si>
    <t>DeltaWagesPayable_payout</t>
  </si>
  <si>
    <t>AccountsReceivable_deleverage</t>
  </si>
  <si>
    <t>FinishedGoods_deleverage</t>
  </si>
  <si>
    <t>WagesPayable_deleverage</t>
  </si>
  <si>
    <t>OtherAccountsPayable_deleverage</t>
  </si>
  <si>
    <t>MinimumOperatingCash_deleverage</t>
  </si>
  <si>
    <t>NetWorkingCapital_deleverage</t>
  </si>
  <si>
    <t>CapitalExpenditures_deleverage</t>
  </si>
  <si>
    <t>NetFixedAssets_deleverage</t>
  </si>
  <si>
    <t>TotalNetOperatingAssets_deleverage</t>
  </si>
  <si>
    <t>Goodwill_deleverage</t>
  </si>
  <si>
    <t>ExcessCash_deleverage</t>
  </si>
  <si>
    <t>TotalAssets_deleverage</t>
  </si>
  <si>
    <t>FinancialDebt_deleverage</t>
  </si>
  <si>
    <t>BankOverdraft_deleverage</t>
  </si>
  <si>
    <t>Dividends_deleverage</t>
  </si>
  <si>
    <t>SaleOrPurchaseOfStock_deleverage</t>
  </si>
  <si>
    <t>StockholdersEquity_deleverage</t>
  </si>
  <si>
    <t>TotalLiabilitiesAndEquity_deleverage</t>
  </si>
  <si>
    <t>Unbalance_deleverage</t>
  </si>
  <si>
    <t>delta line item — scenario `deleverage`</t>
  </si>
  <si>
    <t>DeltaNetWorkingCapital_deleverage</t>
  </si>
  <si>
    <t>DeltaFinancialDebt_deleverage</t>
  </si>
  <si>
    <t>DeltaNetFixedAssets_deleverage</t>
  </si>
  <si>
    <t>DeltaMinimumOperatingCash_deleverage</t>
  </si>
  <si>
    <t>DeltaAccountsReceivable_deleverage</t>
  </si>
  <si>
    <t>DeltaRawMaterials_deleverage</t>
  </si>
  <si>
    <t>DeltaFinishedGoods_deleverage</t>
  </si>
  <si>
    <t>DeltaOtherAccountsPayable_deleverage</t>
  </si>
  <si>
    <t>DeltaWagesPayable_deleverage</t>
  </si>
  <si>
    <t>accounts receivable = (Assumpt.AR days * IS.Sales) / 365</t>
  </si>
  <si>
    <t>raw materials = (-(Assumpt.raw materials days) * IS.Raw Materials) / 365</t>
  </si>
  <si>
    <t>finished goods = (-(Assumpt.finished goods days) * (IS.Raw Materials + IS.Direct Labor Costs)) / 365</t>
  </si>
  <si>
    <t>wages payable = (Assumpt.wages payable days * (IS.Direct Labor Costs + IS.Administrative)) / 365</t>
  </si>
  <si>
    <t>other accounts payable = (Assumpt.other AP days * (IS.Raw Materials + IS.Sales and Marketing)) / 365</t>
  </si>
  <si>
    <t>Minimum operating cash = Assumpt.operating cash days*IS.Sales/365</t>
  </si>
  <si>
    <t>Net working capital = sum_group(NWC)</t>
  </si>
  <si>
    <t>Capital expenditures[year:rest] = Assumpt.capex pct of sales change * (IS.Sales - IS.Sales[year:prev])</t>
  </si>
  <si>
    <t>Net fixed assets[year:first] = Assumpt.initial net fixed assets</t>
  </si>
  <si>
    <t>FixedAssetRoll_base</t>
  </si>
  <si>
    <t>Depreciation[year:rest] = -(Assumpt.avg depreciation on NFA) * (Net fixed assets[year:prev] + Capital expenditures)</t>
  </si>
  <si>
    <t>Net fixed assets[year:rest] = Net fixed assets[year:prev] + Capital expenditures + Depreciation</t>
  </si>
  <si>
    <t>Total net operating assets = Net working capital + Net fixed assets</t>
  </si>
  <si>
    <t>Goodwill[year:first] = (Financial debt + Bank overdraft + Stockholders Equity) - (Total net operating assets + Excess cash)</t>
  </si>
  <si>
    <t>Goodwill[year:rest] = Goodwill[year:prev]</t>
  </si>
  <si>
    <t>Excess cash = SCF recursive.Excess cash</t>
  </si>
  <si>
    <t>Total assets = Total net operating assets + Goodwill + Excess cash</t>
  </si>
  <si>
    <t>Financial debt = FinDebt.Outstanding debt</t>
  </si>
  <si>
    <t>Bank overdraft = SCF recursive.Bank overdraft</t>
  </si>
  <si>
    <t>Net Income = IS.Net income</t>
  </si>
  <si>
    <t>Dividends = SCF recursive.Dividends</t>
  </si>
  <si>
    <t>Sale or Purchase of Stock[year:first] = Assumpt.equity purchase price - Financial debt</t>
  </si>
  <si>
    <t>Sale or Purchase of Stock[year:rest] = SCF recursive.Sale or Purchase of Stock</t>
  </si>
  <si>
    <t>Stockholders Equity[year:first] = Sale or Purchase of Stock</t>
  </si>
  <si>
    <t>Stockholders Equity[year:rest] = Stockholders Equity[year:prev] + Net Income + Dividends + Sale or Purchase of Stock</t>
  </si>
  <si>
    <t>Total Liabilities and Equity = Financial debt + Bank overdraft + Stockholders Equity</t>
  </si>
  <si>
    <t>Unbalance = Total assets - Total Liabilities and Equity</t>
  </si>
  <si>
    <t>delta = value - value[year:prev]</t>
  </si>
  <si>
    <t>27 Impromptu clauses -&gt; 30 Excel anchor cells, emitted 3x for 3 scenarios = 90.</t>
  </si>
  <si>
    <t>FCF — free cash flow (episode 2's SCF, renamed and trimmed)</t>
  </si>
  <si>
    <t>Impromptu dataset: FCF — 15 line items x 5 years, 13 formula clauses. Every line is `[year:rest]`-only: the 2022 cell is an INPUT reading 0, not a blank. Two coordinates carry no clause at all and are dead leftovers of the episode-2 rename.</t>
  </si>
  <si>
    <t>less Taxes on EBIT</t>
  </si>
  <si>
    <t>LessTaxesOnEBIT_base</t>
  </si>
  <si>
    <t>Unlevered Net Income</t>
  </si>
  <si>
    <t>UnleveredNetIncome_base</t>
  </si>
  <si>
    <t>plus Depreciation</t>
  </si>
  <si>
    <t>PlusDepreciation_base</t>
  </si>
  <si>
    <t>less Changes in NWC</t>
  </si>
  <si>
    <t>LessChangesInNWC_base</t>
  </si>
  <si>
    <t>less Capex</t>
  </si>
  <si>
    <t>LessCapex_base</t>
  </si>
  <si>
    <t>FCFF</t>
  </si>
  <si>
    <t>FCFF_base</t>
  </si>
  <si>
    <t>Plus net borrowing</t>
  </si>
  <si>
    <t>PlusNetBorrowing_base</t>
  </si>
  <si>
    <t>less After tax Findebt interest</t>
  </si>
  <si>
    <t>LessAfterTaxFindebtInterest_base</t>
  </si>
  <si>
    <t>FCFE</t>
  </si>
  <si>
    <t>FCFE_base</t>
  </si>
  <si>
    <t>Free Dividends</t>
  </si>
  <si>
    <t>FreeDividends_base</t>
  </si>
  <si>
    <t>Free Sale or Purchase of Stock</t>
  </si>
  <si>
    <t>FreeSaleOrPurchaseOfStock_base</t>
  </si>
  <si>
    <t>After tax cash interest</t>
  </si>
  <si>
    <t>DeadAfterTaxCashInterest_base</t>
  </si>
  <si>
    <t>Re-add change in operating cash</t>
  </si>
  <si>
    <t>DeadReAddChangeInOperatingCash_base</t>
  </si>
  <si>
    <t>NCF</t>
  </si>
  <si>
    <t>NCF_base</t>
  </si>
  <si>
    <t>LessTaxesOnEBIT_payout</t>
  </si>
  <si>
    <t>UnleveredNetIncome_payout</t>
  </si>
  <si>
    <t>PlusDepreciation_payout</t>
  </si>
  <si>
    <t>LessChangesInNWC_payout</t>
  </si>
  <si>
    <t>LessCapex_payout</t>
  </si>
  <si>
    <t>FCFF_payout</t>
  </si>
  <si>
    <t>PlusNetBorrowing_payout</t>
  </si>
  <si>
    <t>LessAfterTaxFindebtInterest_payout</t>
  </si>
  <si>
    <t>FCFE_payout</t>
  </si>
  <si>
    <t>FreeDividends_payout</t>
  </si>
  <si>
    <t>FreeSaleOrPurchaseOfStock_payout</t>
  </si>
  <si>
    <t>DeadAfterTaxCashInterest_payout</t>
  </si>
  <si>
    <t>DeadReAddChangeInOperatingCash_payout</t>
  </si>
  <si>
    <t>NCF_payout</t>
  </si>
  <si>
    <t>LessTaxesOnEBIT_deleverage</t>
  </si>
  <si>
    <t>UnleveredNetIncome_deleverage</t>
  </si>
  <si>
    <t>PlusDepreciation_deleverage</t>
  </si>
  <si>
    <t>LessChangesInNWC_deleverage</t>
  </si>
  <si>
    <t>LessCapex_deleverage</t>
  </si>
  <si>
    <t>FCFF_deleverage</t>
  </si>
  <si>
    <t>PlusNetBorrowing_deleverage</t>
  </si>
  <si>
    <t>LessAfterTaxFindebtInterest_deleverage</t>
  </si>
  <si>
    <t>FCFE_deleverage</t>
  </si>
  <si>
    <t>FreeDividends_deleverage</t>
  </si>
  <si>
    <t>FreeSaleOrPurchaseOfStock_deleverage</t>
  </si>
  <si>
    <t>DeadAfterTaxCashInterest_deleverage</t>
  </si>
  <si>
    <t>DeadReAddChangeInOperatingCash_deleverage</t>
  </si>
  <si>
    <t>NCF_deleverage</t>
  </si>
  <si>
    <t>EBIT[year:rest] = IS.EBIT</t>
  </si>
  <si>
    <t>less Taxes on EBIT[year:rest] = -EBIT * Rates.tax rate</t>
  </si>
  <si>
    <t>Unlevered Net Income[year:rest] = EBIT + less Taxes on EBIT</t>
  </si>
  <si>
    <t>plus Depreciation[year:rest] = -(IS.Depreciation)</t>
  </si>
  <si>
    <t>less Changes in NWC[year:rest] = -(BS.delta[Net working capital])</t>
  </si>
  <si>
    <t>less Capex[year:rest] = -(BS.Capital expenditures)</t>
  </si>
  <si>
    <t>FCFF[year:rest] = Unlevered Net Income + plus Depreciation + less Changes in NWC + less Capex</t>
  </si>
  <si>
    <t>Plus net borrowing[year:rest] = BS.delta[Financial debt]</t>
  </si>
  <si>
    <t>less After tax Findebt interest[year:rest] = -(FinDebt.Interest) * (1 - Rates.tax rate)</t>
  </si>
  <si>
    <t>FCFE[year:rest] = FCFF + Plus net borrowing + less After tax Findebt interest</t>
  </si>
  <si>
    <t>Free Dividends[year:rest] = ifelse(FCFE&gt;0,-FCFE,0)</t>
  </si>
  <si>
    <t>Free Sale or Purchase of Stock[year:rest] = ifelse(FCFE&lt;0,-FCFE,0)</t>
  </si>
  <si>
    <t>NCF[year:rest] = FCFE + Free Dividends + Free Sale or Purchase of Stock</t>
  </si>
  <si>
    <t>13 Impromptu clauses -&gt; 13 Excel anchor cells, emitted 3x for 3 scenarios = 39.</t>
  </si>
  <si>
    <t>SCF recursive — the circular cash policy, written the obvious way: a circular reference</t>
  </si>
  <si>
    <t>Impromptu dataset: SCF recursive — 32 line items x 5 years, 27 formula clauses, on `convItem` (shared with SCF). Its average balances read the FINAL closing balance, so this year's interest reads itself: a genuine cycle. Here After tax cash interest reads Net cash interest directly, as in Impromptu, with no fixed point: Excel reports a circular reference and computes the loop as zeros. The solved workbook is lbo-ep03r.xlsx.</t>
  </si>
  <si>
    <t>ReAddChangeInOperatingCash_base</t>
  </si>
  <si>
    <t>NCF BCI</t>
  </si>
  <si>
    <t>NCFBCI_base</t>
  </si>
  <si>
    <t>AfterTaxCashInterest_base</t>
  </si>
  <si>
    <t>Net cash position</t>
  </si>
  <si>
    <t>NetCashPosition_base</t>
  </si>
  <si>
    <t>Discretionary cash</t>
  </si>
  <si>
    <t>DiscretionaryCash_base</t>
  </si>
  <si>
    <t>Discretionary prev</t>
  </si>
  <si>
    <t>DiscretionaryPrev_base</t>
  </si>
  <si>
    <t>Excess prev</t>
  </si>
  <si>
    <t>ExcessPrev_base</t>
  </si>
  <si>
    <t>Overdraft prev</t>
  </si>
  <si>
    <t>OverdraftPrev_base</t>
  </si>
  <si>
    <t>Swing</t>
  </si>
  <si>
    <t>Swing_base</t>
  </si>
  <si>
    <t>Avg excess cash</t>
  </si>
  <si>
    <t>AvgExcessCash_base</t>
  </si>
  <si>
    <t>Avg overdraft</t>
  </si>
  <si>
    <t>AvgOverdraft_base</t>
  </si>
  <si>
    <t>Cash interest income</t>
  </si>
  <si>
    <t>CashInterestIncome_base</t>
  </si>
  <si>
    <t>Overdraft interest expense</t>
  </si>
  <si>
    <t>OverdraftInterestExpense_base</t>
  </si>
  <si>
    <t>Net cash interest</t>
  </si>
  <si>
    <t>NetCashInterest_base</t>
  </si>
  <si>
    <t>Overdraft warning</t>
  </si>
  <si>
    <t>OverdraftWarning_base</t>
  </si>
  <si>
    <t>Total non-cash NWC change</t>
  </si>
  <si>
    <t>TotalNonCashNWCChange_base</t>
  </si>
  <si>
    <t>NCF via Income and BS delta</t>
  </si>
  <si>
    <t>NCFViaIncomeAndBSDelta_base</t>
  </si>
  <si>
    <t>Parity residual A</t>
  </si>
  <si>
    <t>ParityResidualA_base</t>
  </si>
  <si>
    <t>NCF via cash decomposition</t>
  </si>
  <si>
    <t>NCFViaCashDecomposition_base</t>
  </si>
  <si>
    <t>Parity residual B</t>
  </si>
  <si>
    <t>ParityResidualB_base</t>
  </si>
  <si>
    <t>Net cash position BCI</t>
  </si>
  <si>
    <t>DeadNetCashPositionBCI_base</t>
  </si>
  <si>
    <t>Discretionary BCI</t>
  </si>
  <si>
    <t>DeadDiscretionaryBCI_base</t>
  </si>
  <si>
    <t>Excess BCI</t>
  </si>
  <si>
    <t>DeadExcessBCI_base</t>
  </si>
  <si>
    <t>Overdraft BCI</t>
  </si>
  <si>
    <t>DeadOverdraftBCI_base</t>
  </si>
  <si>
    <t>Cash interest shortfall</t>
  </si>
  <si>
    <t>DeadCashInterestShortfall_base</t>
  </si>
  <si>
    <t>Discretionary cash shortfall</t>
  </si>
  <si>
    <t>DeadDiscretionaryCashShortfall_base</t>
  </si>
  <si>
    <t>ReAddChangeInOperatingCash_payout</t>
  </si>
  <si>
    <t>NCFBCI_payout</t>
  </si>
  <si>
    <t>AfterTaxCashInterest_payout</t>
  </si>
  <si>
    <t>NetCashPosition_payout</t>
  </si>
  <si>
    <t>DiscretionaryCash_payout</t>
  </si>
  <si>
    <t>DiscretionaryPrev_payout</t>
  </si>
  <si>
    <t>ExcessPrev_payout</t>
  </si>
  <si>
    <t>OverdraftPrev_payout</t>
  </si>
  <si>
    <t>Swing_payout</t>
  </si>
  <si>
    <t>AvgExcessCash_payout</t>
  </si>
  <si>
    <t>AvgOverdraft_payout</t>
  </si>
  <si>
    <t>CashInterestIncome_payout</t>
  </si>
  <si>
    <t>OverdraftInterestExpense_payout</t>
  </si>
  <si>
    <t>NetCashInterest_payout</t>
  </si>
  <si>
    <t>OverdraftWarning_payout</t>
  </si>
  <si>
    <t>TotalNonCashNWCChange_payout</t>
  </si>
  <si>
    <t>NCFViaIncomeAndBSDelta_payout</t>
  </si>
  <si>
    <t>ParityResidualA_payout</t>
  </si>
  <si>
    <t>NCFViaCashDecomposition_payout</t>
  </si>
  <si>
    <t>ParityResidualB_payout</t>
  </si>
  <si>
    <t>DeadNetCashPositionBCI_payout</t>
  </si>
  <si>
    <t>DeadDiscretionaryBCI_payout</t>
  </si>
  <si>
    <t>DeadExcessBCI_payout</t>
  </si>
  <si>
    <t>DeadOverdraftBCI_payout</t>
  </si>
  <si>
    <t>DeadCashInterestShortfall_payout</t>
  </si>
  <si>
    <t>DeadDiscretionaryCashShortfall_payout</t>
  </si>
  <si>
    <t>ReAddChangeInOperatingCash_deleverage</t>
  </si>
  <si>
    <t>NCFBCI_deleverage</t>
  </si>
  <si>
    <t>AfterTaxCashInterest_deleverage</t>
  </si>
  <si>
    <t>NetCashPosition_deleverage</t>
  </si>
  <si>
    <t>DiscretionaryCash_deleverage</t>
  </si>
  <si>
    <t>DiscretionaryPrev_deleverage</t>
  </si>
  <si>
    <t>ExcessPrev_deleverage</t>
  </si>
  <si>
    <t>OverdraftPrev_deleverage</t>
  </si>
  <si>
    <t>Swing_deleverage</t>
  </si>
  <si>
    <t>AvgExcessCash_deleverage</t>
  </si>
  <si>
    <t>AvgOverdraft_deleverage</t>
  </si>
  <si>
    <t>CashInterestIncome_deleverage</t>
  </si>
  <si>
    <t>OverdraftInterestExpense_deleverage</t>
  </si>
  <si>
    <t>NetCashInterest_deleverage</t>
  </si>
  <si>
    <t>OverdraftWarning_deleverage</t>
  </si>
  <si>
    <t>TotalNonCashNWCChange_deleverage</t>
  </si>
  <si>
    <t>NCFViaIncomeAndBSDelta_deleverage</t>
  </si>
  <si>
    <t>ParityResidualA_deleverage</t>
  </si>
  <si>
    <t>NCFViaCashDecomposition_deleverage</t>
  </si>
  <si>
    <t>ParityResidualB_deleverage</t>
  </si>
  <si>
    <t>DeadNetCashPositionBCI_deleverage</t>
  </si>
  <si>
    <t>DeadDiscretionaryBCI_deleverage</t>
  </si>
  <si>
    <t>DeadExcessBCI_deleverage</t>
  </si>
  <si>
    <t>DeadOverdraftBCI_deleverage</t>
  </si>
  <si>
    <t>DeadCashInterestShortfall_deleverage</t>
  </si>
  <si>
    <t>DeadDiscretionaryCashShortfall_deleverage</t>
  </si>
  <si>
    <t>FCFE[year:rest] = FCF.FCFE</t>
  </si>
  <si>
    <t>Sale or Purchase of Stock[year:rest] = 0</t>
  </si>
  <si>
    <t>Dividends = ifelse(FCFE&gt;=0, -FCFE * Rates.dividends pct of FCFE, 0)</t>
  </si>
  <si>
    <t>Re-add change in operating cash[year:rest] = BS.delta[Minimum operating cash]</t>
  </si>
  <si>
    <t>NCF BCI = FCFE + Sale or Purchase of Stock + Dividends + Re-add change in operating cash</t>
  </si>
  <si>
    <t>After tax cash interest[year:rest] = Net cash interest * (1 - Rates.tax rate)</t>
  </si>
  <si>
    <t>NCF = NCF BCI + After tax cash interest</t>
  </si>
  <si>
    <t>Net cash position[year:first] = Assumpt.initial total cash</t>
  </si>
  <si>
    <t>Net cash position[year:rest] = Net cash position[year:prev] + NCF</t>
  </si>
  <si>
    <t>Discretionary cash = Net cash position - BS.Minimum operating cash</t>
  </si>
  <si>
    <t>Excess cash = ifelse(Discretionary cash &gt; 0, Discretionary cash, 0)</t>
  </si>
  <si>
    <t>Bank overdraft = ifelse(Discretionary cash &lt; 0, -Discretionary cash, 0)</t>
  </si>
  <si>
    <t>Discretionary prev[year:rest] = Discretionary cash[year:prev]</t>
  </si>
  <si>
    <t>Excess prev[year:rest] = Excess cash[year:prev]</t>
  </si>
  <si>
    <t>Overdraft prev[year:rest] = Bank overdraft[year:prev]</t>
  </si>
  <si>
    <t>Swing[year:rest] = Excess prev + Excess cash + Overdraft prev + Bank overdraft</t>
  </si>
  <si>
    <t>Avg excess cash[year:rest] = ifelse(Swing &gt; 0, 0.5 * (Excess prev + Excess cash) * (Excess prev + Excess cash) / Swing, 0)  [FN.AVGPART]</t>
  </si>
  <si>
    <t>Avg overdraft[year:rest] = ifelse(Swing &gt; 0, 0.5 * (Overdraft prev + Bank overdraft) * (Overdraft prev + Bank overdraft) / Swing, 0)  [FN.AVGPART]</t>
  </si>
  <si>
    <t>Cash interest income[year:rest] = IS.Interest income on excess cash</t>
  </si>
  <si>
    <t>Overdraft interest expense[year:rest] = -(IS.Interest expense on bank overdraft)</t>
  </si>
  <si>
    <t>Net cash interest[year:rest] = Cash interest income - Overdraft interest expense</t>
  </si>
  <si>
    <t>Overdraft warning = ifelse(Bank overdraft &gt; 0, 1, 0)</t>
  </si>
  <si>
    <t>Total non-cash NWC change = BS.delta[accounts receivable] + BS.delta[raw materials] + BS.delta[finished goods] + BS.delta[other accounts payable] + BS.delta[wages payable]</t>
  </si>
  <si>
    <t>NCF via Income and BS delta[year:rest] = (IS.Net income - (Total non-cash NWC change + BS.delta[Net fixed assets])) + BS.delta[Financial debt] + Dividends + Sale or Purchase of Stock</t>
  </si>
  <si>
    <t>Parity residual A[year:rest] = NCF - NCF via Income and BS delta</t>
  </si>
  <si>
    <t>NCF via cash decomposition[year:rest] = (BS.delta[Minimum operating cash] + (Excess cash - Excess cash[year:prev])) - (Bank overdraft - Bank overdraft[year:prev])</t>
  </si>
  <si>
    <t>Parity residual B[year:rest] = NCF - NCF via cash decomposition</t>
  </si>
  <si>
    <t>27 Impromptu clauses -&gt; 26 Excel anchor cells, emitted 3x for 3 scenarios = 78.</t>
  </si>
  <si>
    <t>SCF — cash position, the cash-interest policy, and the parity checks</t>
  </si>
  <si>
    <t>Impromptu dataset: SCF — 32 line items x 5 years, 29 formula clauses, on `convItem` (shared with SCF recursive). The LINEARIZED twin: interest on the balance BEFORE cash interest, so no loop at (line item x year). E3's construction — one SCAN plus eleven rows — unchanged; downstream of the fixed point, read by nothing but its own shortfall rows.</t>
  </si>
  <si>
    <t>NetCashPositionBCI_base</t>
  </si>
  <si>
    <t>DiscretionaryBCI_base</t>
  </si>
  <si>
    <t>ExcessBCI_base</t>
  </si>
  <si>
    <t>OverdraftBCI_base</t>
  </si>
  <si>
    <t>DeadNCFViaIncomeAndBSDelta_base</t>
  </si>
  <si>
    <t>DeadParityResidualA_base</t>
  </si>
  <si>
    <t>CashInterestShortfall_base</t>
  </si>
  <si>
    <t>DiscretionaryCashShortfall_base</t>
  </si>
  <si>
    <t>DeadExcessPrev_base</t>
  </si>
  <si>
    <t>DeadOverdraftPrev_base</t>
  </si>
  <si>
    <t>DeadSwing_base</t>
  </si>
  <si>
    <t>NetCashPositionBCI_payout</t>
  </si>
  <si>
    <t>DiscretionaryBCI_payout</t>
  </si>
  <si>
    <t>ExcessBCI_payout</t>
  </si>
  <si>
    <t>OverdraftBCI_payout</t>
  </si>
  <si>
    <t>DeadNCFViaIncomeAndBSDelta_payout</t>
  </si>
  <si>
    <t>DeadParityResidualA_payout</t>
  </si>
  <si>
    <t>CashInterestShortfall_payout</t>
  </si>
  <si>
    <t>DiscretionaryCashShortfall_payout</t>
  </si>
  <si>
    <t>DeadExcessPrev_payout</t>
  </si>
  <si>
    <t>DeadOverdraftPrev_payout</t>
  </si>
  <si>
    <t>DeadSwing_payout</t>
  </si>
  <si>
    <t>NetCashPositionBCI_deleverage</t>
  </si>
  <si>
    <t>DiscretionaryBCI_deleverage</t>
  </si>
  <si>
    <t>ExcessBCI_deleverage</t>
  </si>
  <si>
    <t>OverdraftBCI_deleverage</t>
  </si>
  <si>
    <t>DeadNCFViaIncomeAndBSDelta_deleverage</t>
  </si>
  <si>
    <t>DeadParityResidualA_deleverage</t>
  </si>
  <si>
    <t>CashInterestShortfall_deleverage</t>
  </si>
  <si>
    <t>DiscretionaryCashShortfall_deleverage</t>
  </si>
  <si>
    <t>DeadExcessPrev_deleverage</t>
  </si>
  <si>
    <t>DeadOverdraftPrev_deleverage</t>
  </si>
  <si>
    <t>DeadSwing_deleverage</t>
  </si>
  <si>
    <t>Net cash position BCI[year:first] = Assumpt.initial total cash</t>
  </si>
  <si>
    <t>Net cash position BCI[year:rest] = Net cash position[year:prev] + NCF BCI</t>
  </si>
  <si>
    <t>Discretionary BCI = Net cash position BCI - BS.Minimum operating cash</t>
  </si>
  <si>
    <t>Excess BCI = ifelse(Discretionary BCI &gt; 0, Discretionary BCI, 0)</t>
  </si>
  <si>
    <t>Overdraft BCI = ifelse(Discretionary BCI &lt; 0, -Discretionary BCI, 0)</t>
  </si>
  <si>
    <t>Avg excess cash[year:rest] = switch(...)  [FN.AVGPOS]</t>
  </si>
  <si>
    <t>Cash interest income[year:rest] = Rates.excess cash interest rate * Avg excess cash</t>
  </si>
  <si>
    <t>Avg overdraft[year:rest] = switch(...)  [FN.AVGNEG]</t>
  </si>
  <si>
    <t>Overdraft interest expense[year:rest] = Rates.overdraft interest rate * Avg overdraft</t>
  </si>
  <si>
    <t>Cash interest shortfall[year:rest] = Cash interest income - SCF recursive.Cash interest income</t>
  </si>
  <si>
    <t>Discretionary cash shortfall = Discretionary cash - SCF recursive.Discretionary cash</t>
  </si>
  <si>
    <t>29 Impromptu clauses -&gt; 27 Excel anchor cells, emitted 3x for 3 scenarios = 81.</t>
  </si>
  <si>
    <t>Acceptance — Excel computed vs Impromptu reference</t>
  </si>
  <si>
    <t>Expected values: Impromptu's results for the inputs as shipped. After an input is changed, the comparison no longer applies.</t>
  </si>
  <si>
    <t>tolerance (absolute)</t>
  </si>
  <si>
    <t>SalesCOGS  [base]</t>
  </si>
  <si>
    <t>worst abs dev</t>
  </si>
  <si>
    <t>exp 2022</t>
  </si>
  <si>
    <t>got 2022</t>
  </si>
  <si>
    <t>dev 2022</t>
  </si>
  <si>
    <t>exp 2023</t>
  </si>
  <si>
    <t>got 2023</t>
  </si>
  <si>
    <t>dev 2023</t>
  </si>
  <si>
    <t>exp 2024</t>
  </si>
  <si>
    <t>got 2024</t>
  </si>
  <si>
    <t>dev 2024</t>
  </si>
  <si>
    <t>exp 2025</t>
  </si>
  <si>
    <t>got 2025</t>
  </si>
  <si>
    <t>dev 2025</t>
  </si>
  <si>
    <t>exp 2026</t>
  </si>
  <si>
    <t>got 2026</t>
  </si>
  <si>
    <t>dev 2026</t>
  </si>
  <si>
    <t>verdict</t>
  </si>
  <si>
    <t>LastActuals  [no scenario axis]</t>
  </si>
  <si>
    <t>exp base</t>
  </si>
  <si>
    <t>got base</t>
  </si>
  <si>
    <t>dev base</t>
  </si>
  <si>
    <t>Assumpt  [base]</t>
  </si>
  <si>
    <t>Rates  [base]</t>
  </si>
  <si>
    <t>FinDebt  [base]</t>
  </si>
  <si>
    <t>IS  [base]</t>
  </si>
  <si>
    <t>BS  [base]</t>
  </si>
  <si>
    <t>BSdelta  [base]</t>
  </si>
  <si>
    <t>FCF  [base]</t>
  </si>
  <si>
    <t>SCFrecursive  [base]</t>
  </si>
  <si>
    <t>SCF  [base]</t>
  </si>
  <si>
    <t>Unbalance  [base]</t>
  </si>
  <si>
    <t>ParityA  [base]</t>
  </si>
  <si>
    <t>ParityB  [base]</t>
  </si>
  <si>
    <t>SCFParityB  [base]</t>
  </si>
  <si>
    <t>SalesCOGS  [payout]</t>
  </si>
  <si>
    <t>Assumpt  [payout]</t>
  </si>
  <si>
    <t>exp payout</t>
  </si>
  <si>
    <t>got payout</t>
  </si>
  <si>
    <t>dev payout</t>
  </si>
  <si>
    <t>Rates  [payout]</t>
  </si>
  <si>
    <t>FinDebt  [payout]</t>
  </si>
  <si>
    <t>IS  [payout]</t>
  </si>
  <si>
    <t>BS  [payout]</t>
  </si>
  <si>
    <t>BSdelta  [payout]</t>
  </si>
  <si>
    <t>FCF  [payout]</t>
  </si>
  <si>
    <t>SCFrecursive  [payout]</t>
  </si>
  <si>
    <t>SCF  [payout]</t>
  </si>
  <si>
    <t>Unbalance  [payout]</t>
  </si>
  <si>
    <t>ParityA  [payout]</t>
  </si>
  <si>
    <t>ParityB  [payout]</t>
  </si>
  <si>
    <t>SCFParityB  [payout]</t>
  </si>
  <si>
    <t>SalesCOGS  [deleverage]</t>
  </si>
  <si>
    <t>Assumpt  [deleverage]</t>
  </si>
  <si>
    <t>exp deleverage</t>
  </si>
  <si>
    <t>got deleverage</t>
  </si>
  <si>
    <t>dev deleverage</t>
  </si>
  <si>
    <t>Rates  [deleverage]</t>
  </si>
  <si>
    <t>FinDebt  [deleverage]</t>
  </si>
  <si>
    <t>IS  [deleverage]</t>
  </si>
  <si>
    <t>BS  [deleverage]</t>
  </si>
  <si>
    <t>BSdelta  [deleverage]</t>
  </si>
  <si>
    <t>FCF  [deleverage]</t>
  </si>
  <si>
    <t>SCFrecursive  [deleverage]</t>
  </si>
  <si>
    <t>SCF  [deleverage]</t>
  </si>
  <si>
    <t>Unbalance  [deleverage]</t>
  </si>
  <si>
    <t>ParityA  [deleverage]</t>
  </si>
  <si>
    <t>ParityB  [deleverage]</t>
  </si>
  <si>
    <t>SCFParityB  [deleverage]</t>
  </si>
  <si>
    <t>WORST ABSOLUTE DEVIATION (all blocks)</t>
  </si>
  <si>
    <t>524 line items checked across 43 blocks; 36 fixture cells hold no value in Impromptu and are compared as absent (FN.DEV).</t>
  </si>
  <si>
    <t>harness self-test — FN.DEV's absent-value rule</t>
  </si>
  <si>
    <t>got</t>
  </si>
  <si>
    <t>want</t>
  </si>
  <si>
    <t>equal-and-present -&gt; 0; unequal -&gt; the gap; absent-and-absent -&gt; 0; absent on ONE side -&gt; 1E+99, a deliberate FAIL rather than a skip.</t>
  </si>
  <si>
    <t>FN.AVGPOS probe</t>
  </si>
  <si>
    <t>max abs diff</t>
  </si>
  <si>
    <t>prev=bci=100 at position 1 makes the third branch divide by zero; IF must select branch 1 and discard it. Position 2 crosses zero: 0.5*100^2/150.</t>
  </si>
  <si>
    <t>FN.AVGNEG probe</t>
  </si>
  <si>
    <t>Same probe below the line. Position 3 never rises above zero, so the average overdraft is the midpoint 65, reported positive.</t>
  </si>
  <si>
    <t>FN.AVGPART probe</t>
  </si>
  <si>
    <t>The one-expression closed form against E3's four-branch switch, both halves, on the probe that crosses zero and has a zero-swing position (4: 0 -&gt; 60 has swing 60; 1: 100 -&gt; 100 is a midpoint). Ten zeros.</t>
  </si>
  <si>
    <t>Unbalance identity  [base]</t>
  </si>
  <si>
    <t>max abs value</t>
  </si>
  <si>
    <t>Assets - (Liabilities + Equity), computed in Excel, against the tolerance directly rather than against Impromptu's own residual.</t>
  </si>
  <si>
    <t>Parity residual A identity  [base]</t>
  </si>
  <si>
    <t>SCF recursive's own check: net cash flow rebuilt from net income and the balance-sheet deltas must equal NCF. It closes only if the TAX on the cash interest the fixed point found is the tax the income statement charges.</t>
  </si>
  <si>
    <t>Parity residual B identity  [base]</t>
  </si>
  <si>
    <t>SCF recursive's own check: NCF rebuilt from the cash decomposition (operating cash + excess cash - overdraft) must equal NCF.</t>
  </si>
  <si>
    <t>SCF parity residual B identity  [base]</t>
  </si>
  <si>
    <t>The linearized twin's own check, which it keeps.</t>
  </si>
  <si>
    <t>NCP recurrence identity  [base]</t>
  </si>
  <si>
    <t>The linearized twin's SCAN vs its visible NCF row (E3). Excel checked against itself, not against Impromptu.</t>
  </si>
  <si>
    <t>Unbalance identity  [payout]</t>
  </si>
  <si>
    <t>Parity residual A identity  [payout]</t>
  </si>
  <si>
    <t>Parity residual B identity  [payout]</t>
  </si>
  <si>
    <t>SCF parity residual B identity  [payout]</t>
  </si>
  <si>
    <t>NCP recurrence identity  [payout]</t>
  </si>
  <si>
    <t>Unbalance identity  [deleverage]</t>
  </si>
  <si>
    <t>Parity residual A identity  [deleverage]</t>
  </si>
  <si>
    <t>Parity residual B identity  [deleverage]</t>
  </si>
  <si>
    <t>SCF parity residual B identity  [deleverage]</t>
  </si>
  <si>
    <t>NCP recurrence identity  [deleverage]</t>
  </si>
  <si>
    <t>Overdraft branch reached  [deleverage]</t>
  </si>
  <si>
    <t>coverage</t>
  </si>
  <si>
    <t>Years in which the circular twin is overdrawn. 0 in `base` and `payout`.</t>
  </si>
  <si>
    <t>Zero crossing reached (AVGPART triangle)  [deleverage]</t>
  </si>
  <si>
    <t>Years where the circular twin's position starts positive and ends non-positive — the only way into the triangle case of FN.AVGPART. A PRODUCT, not AND(); SUMPRODUCT, not SUM.</t>
  </si>
  <si>
    <t>Zero crossing reached (AVGPOS/AVGNEG triangle)  [deleverage]</t>
  </si>
  <si>
    <t>The same crossing, in the linearized twin's own terms.</t>
  </si>
  <si>
    <t>Overdraft interest actually charged  [deleverage]</t>
  </si>
  <si>
    <t>A non-trivial charge to compare, not a row of zeros that would agree with anything.</t>
  </si>
</sst>
</file>

<file path=xl/styles.xml><?xml version="1.0" encoding="utf-8"?>
<styleSheet xmlns="http://schemas.openxmlformats.org/spreadsheetml/2006/main">
  <numFmts count="3">
    <numFmt numFmtId="164" formatCode="0.00E+00"/>
    <numFmt numFmtId="165" formatCode="#,##0.0000"/>
    <numFmt numFmtId="166" formatCode="#,##0.0"/>
  </numFmts>
  <fonts count="8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B6E4F"/>
      <name val="Menlo"/>
      <family val="2"/>
    </font>
    <font>
      <sz val="9"/>
      <color rgb="FF666666"/>
      <name val="Menlo"/>
      <family val="2"/>
    </font>
    <font>
      <b/>
      <sz val="11"/>
      <color rgb="FFB00020"/>
      <name val="Calibri"/>
      <family val="2"/>
      <scheme val="minor"/>
    </font>
    <font>
      <b/>
      <sz val="11"/>
      <color rgb="FF0B6E4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0" xfId="0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5" fillId="0" borderId="0" xfId="0" applyFont="1"/>
    <xf numFmtId="164" fontId="0" fillId="0" borderId="0" xfId="0" applyNumberFormat="1"/>
    <xf numFmtId="165" fontId="0" fillId="0" borderId="0" xfId="0" applyNumberFormat="1"/>
    <xf numFmtId="0" fontId="6" fillId="0" borderId="0" xfId="0" applyFont="1"/>
    <xf numFmtId="166" fontId="0" fillId="0" borderId="0" xfId="0" applyNumberForma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6" Type="http://schemas.openxmlformats.org/officeDocument/2006/relationships/sheetMetadata" Target="metadata.xml"/></Relationships>
</file>

<file path=xl/tables/table1.xml><?xml version="1.0" encoding="utf-8"?>
<table xmlns="http://schemas.openxmlformats.org/spreadsheetml/2006/main" id="1" name="tblSettings" displayName="tblSettings" ref="A6:B8" totalsRowShown="0">
  <autoFilter ref="A6:B8"/>
  <tableColumns count="2">
    <tableColumn id="1" name="item"/>
    <tableColumn id="2" name="value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blAssumpt" displayName="tblAssumpt" ref="A4:D31" totalsRowShown="0">
  <autoFilter ref="A4:D31"/>
  <tableColumns count="4">
    <tableColumn id="1" name="item"/>
    <tableColumn id="2" name="base"/>
    <tableColumn id="3" name="payout"/>
    <tableColumn id="4" name="deleverage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3" name="tblActuals" displayName="tblActuals" ref="A4:B14" totalsRowShown="0">
  <autoFilter ref="A4:B14"/>
  <tableColumns count="2">
    <tableColumn id="1" name="item"/>
    <tableColumn id="2" name="value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4" name="tblRates" displayName="tblRates" ref="A4:D9" totalsRowShown="0">
  <autoFilter ref="A4:D9"/>
  <tableColumns count="4">
    <tableColumn id="1" name="item"/>
    <tableColumn id="2" name="base"/>
    <tableColumn id="3" name="payout"/>
    <tableColumn id="4" name="deleverag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cols>
    <col min="1" max="1" width="30.7109375" customWidth="1"/>
    <col min="2" max="2" width="7.7109375" customWidth="1"/>
    <col min="3" max="8" width="14.7109375" customWidth="1"/>
  </cols>
  <sheetData>
    <row r="1" spans="1:7">
      <c r="A1" s="1" t="s">
        <v>0</v>
      </c>
    </row>
    <row r="2" spans="1:7">
      <c r="A2" s="2" t="s">
        <v>1</v>
      </c>
    </row>
    <row r="3" spans="1:7">
      <c r="A3" s="2" t="s">
        <v>2</v>
      </c>
    </row>
    <row r="4" spans="1:7">
      <c r="A4" s="2" t="s">
        <v>3</v>
      </c>
    </row>
    <row r="5" spans="1:7">
      <c r="A5" s="3" t="s">
        <v>4</v>
      </c>
    </row>
    <row r="6" spans="1:7">
      <c r="A6" t="s">
        <v>5</v>
      </c>
      <c r="B6" t="s">
        <v>6</v>
      </c>
    </row>
    <row r="7" spans="1:7">
      <c r="A7" t="s">
        <v>7</v>
      </c>
      <c r="B7">
        <v>2022</v>
      </c>
    </row>
    <row r="8" spans="1:7">
      <c r="A8" t="s">
        <v>8</v>
      </c>
      <c r="B8">
        <v>5</v>
      </c>
    </row>
    <row r="10" spans="1:7">
      <c r="A10" s="3" t="s">
        <v>9</v>
      </c>
    </row>
    <row r="11" spans="1:7">
      <c r="A11" s="4" t="s">
        <v>10</v>
      </c>
      <c r="B11" s="5" t="s">
        <v>11</v>
      </c>
      <c r="C11" s="6" cm="1">
        <f t="array" ref="C11:G11">FN.TIMELINE(StartYear, Periods)</f>
        <v>0</v>
      </c>
      <c r="D11" s="6">
        <v>0</v>
      </c>
      <c r="E11" s="6">
        <v>0</v>
      </c>
      <c r="F11" s="6">
        <v>0</v>
      </c>
      <c r="G11" s="6">
        <v>0</v>
      </c>
    </row>
    <row r="12" spans="1:7">
      <c r="A12" s="4" t="s">
        <v>12</v>
      </c>
      <c r="B12" s="7" t="s">
        <v>13</v>
      </c>
    </row>
    <row r="14" spans="1:7">
      <c r="A14" s="3" t="s">
        <v>14</v>
      </c>
    </row>
    <row r="15" spans="1:7">
      <c r="A15" s="4" t="s">
        <v>15</v>
      </c>
      <c r="B15" s="5" t="s">
        <v>16</v>
      </c>
      <c r="C15" s="8">
        <v>1E-14</v>
      </c>
      <c r="D15" s="2" t="s">
        <v>17</v>
      </c>
    </row>
    <row r="16" spans="1:7">
      <c r="A16" s="4" t="s">
        <v>18</v>
      </c>
      <c r="B16" s="5" t="s">
        <v>19</v>
      </c>
      <c r="C16" s="4">
        <v>50</v>
      </c>
      <c r="D16" s="2" t="s">
        <v>20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34.7109375" customWidth="1"/>
    <col min="2" max="2" width="27.7109375" customWidth="1"/>
    <col min="3" max="5" width="16.7109375" customWidth="1"/>
    <col min="6" max="7" width="70.7109375" customWidth="1"/>
  </cols>
  <sheetData>
    <row r="1" spans="1:4">
      <c r="A1" s="1" t="s">
        <v>21</v>
      </c>
    </row>
    <row r="2" spans="1:4">
      <c r="A2" s="2" t="s">
        <v>22</v>
      </c>
    </row>
    <row r="4" spans="1:4">
      <c r="A4" t="s">
        <v>5</v>
      </c>
      <c r="B4" t="s">
        <v>23</v>
      </c>
      <c r="C4" t="s">
        <v>24</v>
      </c>
      <c r="D4" t="s">
        <v>25</v>
      </c>
    </row>
    <row r="5" spans="1:4">
      <c r="A5" t="s">
        <v>26</v>
      </c>
      <c r="B5">
        <v>196000</v>
      </c>
      <c r="C5">
        <v>196000</v>
      </c>
      <c r="D5">
        <v>196000</v>
      </c>
    </row>
    <row r="6" spans="1:4">
      <c r="A6" t="s">
        <v>27</v>
      </c>
      <c r="B6">
        <v>0.05</v>
      </c>
      <c r="C6">
        <v>0.05</v>
      </c>
      <c r="D6">
        <v>0.05</v>
      </c>
    </row>
    <row r="7" spans="1:4">
      <c r="A7" t="s">
        <v>28</v>
      </c>
      <c r="B7">
        <v>0.1</v>
      </c>
      <c r="C7">
        <v>0.1</v>
      </c>
      <c r="D7">
        <v>0.1</v>
      </c>
    </row>
    <row r="8" spans="1:4">
      <c r="A8" t="s">
        <v>29</v>
      </c>
      <c r="B8">
        <v>0.04</v>
      </c>
      <c r="C8">
        <v>0.04</v>
      </c>
      <c r="D8">
        <v>0.04</v>
      </c>
    </row>
    <row r="9" spans="1:4">
      <c r="A9" t="s">
        <v>30</v>
      </c>
      <c r="B9">
        <v>0.01</v>
      </c>
      <c r="C9">
        <v>0.01</v>
      </c>
      <c r="D9">
        <v>0.01</v>
      </c>
    </row>
    <row r="10" spans="1:4">
      <c r="A10" t="s">
        <v>31</v>
      </c>
      <c r="B10">
        <v>0.04</v>
      </c>
      <c r="C10">
        <v>0.04</v>
      </c>
      <c r="D10">
        <v>0.04</v>
      </c>
    </row>
    <row r="11" spans="1:4">
      <c r="A11" t="s">
        <v>32</v>
      </c>
      <c r="B11">
        <v>0.15</v>
      </c>
      <c r="C11">
        <v>0.15</v>
      </c>
      <c r="D11">
        <v>0.15</v>
      </c>
    </row>
    <row r="12" spans="1:4">
      <c r="A12" t="s">
        <v>33</v>
      </c>
      <c r="B12">
        <v>0.18</v>
      </c>
      <c r="C12">
        <v>0.18</v>
      </c>
      <c r="D12">
        <v>0.18</v>
      </c>
    </row>
    <row r="13" spans="1:4">
      <c r="A13" t="s">
        <v>34</v>
      </c>
      <c r="B13">
        <v>30</v>
      </c>
      <c r="C13">
        <v>30</v>
      </c>
      <c r="D13">
        <v>30</v>
      </c>
    </row>
    <row r="14" spans="1:4">
      <c r="A14" t="s">
        <v>35</v>
      </c>
      <c r="B14">
        <v>60</v>
      </c>
      <c r="C14">
        <v>60</v>
      </c>
      <c r="D14">
        <v>60</v>
      </c>
    </row>
    <row r="15" spans="1:4">
      <c r="A15" t="s">
        <v>36</v>
      </c>
      <c r="B15">
        <v>30</v>
      </c>
      <c r="C15">
        <v>30</v>
      </c>
      <c r="D15">
        <v>30</v>
      </c>
    </row>
    <row r="16" spans="1:4">
      <c r="A16" t="s">
        <v>37</v>
      </c>
      <c r="B16">
        <v>45</v>
      </c>
      <c r="C16">
        <v>45</v>
      </c>
      <c r="D16">
        <v>45</v>
      </c>
    </row>
    <row r="17" spans="1:4">
      <c r="A17" t="s">
        <v>38</v>
      </c>
      <c r="B17">
        <v>15</v>
      </c>
      <c r="C17">
        <v>15</v>
      </c>
      <c r="D17">
        <v>15</v>
      </c>
    </row>
    <row r="18" spans="1:4">
      <c r="A18" t="s">
        <v>39</v>
      </c>
      <c r="B18">
        <v>45</v>
      </c>
      <c r="C18">
        <v>45</v>
      </c>
      <c r="D18">
        <v>45</v>
      </c>
    </row>
    <row r="19" spans="1:4">
      <c r="A19" t="s">
        <v>40</v>
      </c>
      <c r="B19">
        <v>50000</v>
      </c>
      <c r="C19">
        <v>50000</v>
      </c>
      <c r="D19">
        <v>50000</v>
      </c>
    </row>
    <row r="20" spans="1:4">
      <c r="A20" t="s">
        <v>41</v>
      </c>
      <c r="B20">
        <v>0.1</v>
      </c>
      <c r="C20">
        <v>0.1</v>
      </c>
      <c r="D20">
        <v>0.1</v>
      </c>
    </row>
    <row r="21" spans="1:4">
      <c r="A21" t="s">
        <v>42</v>
      </c>
      <c r="B21">
        <v>0.9</v>
      </c>
      <c r="C21">
        <v>0.9</v>
      </c>
      <c r="D21">
        <v>0.9</v>
      </c>
    </row>
    <row r="22" spans="1:4">
      <c r="A22" t="s">
        <v>43</v>
      </c>
      <c r="B22">
        <v>16500</v>
      </c>
      <c r="C22">
        <v>16500</v>
      </c>
      <c r="D22">
        <v>16500</v>
      </c>
    </row>
    <row r="23" spans="1:4">
      <c r="A23" t="s">
        <v>44</v>
      </c>
      <c r="B23">
        <v>1000</v>
      </c>
      <c r="C23">
        <v>1000</v>
      </c>
      <c r="D23">
        <v>1000</v>
      </c>
    </row>
    <row r="24" spans="1:4">
      <c r="A24" t="s">
        <v>45</v>
      </c>
      <c r="B24">
        <v>10000</v>
      </c>
      <c r="C24">
        <v>10000</v>
      </c>
      <c r="D24">
        <v>10000</v>
      </c>
    </row>
    <row r="25" spans="1:4">
      <c r="A25" t="s">
        <v>46</v>
      </c>
      <c r="B25">
        <v>75000</v>
      </c>
      <c r="C25">
        <v>75000</v>
      </c>
      <c r="D25">
        <v>75000</v>
      </c>
    </row>
    <row r="26" spans="1:4">
      <c r="A26" t="s">
        <v>47</v>
      </c>
      <c r="B26">
        <v>-16000</v>
      </c>
      <c r="C26">
        <v>-16000</v>
      </c>
      <c r="D26">
        <v>-16000</v>
      </c>
    </row>
    <row r="27" spans="1:4">
      <c r="A27" t="s">
        <v>48</v>
      </c>
      <c r="B27">
        <v>-13600</v>
      </c>
      <c r="C27">
        <v>-13600</v>
      </c>
      <c r="D27">
        <v>-13600</v>
      </c>
    </row>
    <row r="28" spans="1:4">
      <c r="A28" t="s">
        <v>49</v>
      </c>
      <c r="B28">
        <v>-9800</v>
      </c>
      <c r="C28">
        <v>-9800</v>
      </c>
      <c r="D28">
        <v>-9800</v>
      </c>
    </row>
    <row r="29" spans="1:4">
      <c r="A29" t="s">
        <v>50</v>
      </c>
      <c r="B29">
        <v>-16500</v>
      </c>
      <c r="C29">
        <v>-16500</v>
      </c>
      <c r="D29">
        <v>-16500</v>
      </c>
    </row>
    <row r="30" spans="1:4">
      <c r="A30" t="s">
        <v>51</v>
      </c>
      <c r="B30">
        <v>-4580</v>
      </c>
      <c r="C30">
        <v>-4580</v>
      </c>
      <c r="D30">
        <v>-4580</v>
      </c>
    </row>
    <row r="31" spans="1:4">
      <c r="A31" t="s">
        <v>52</v>
      </c>
      <c r="B31">
        <v>-1380</v>
      </c>
      <c r="C31">
        <v>-1380</v>
      </c>
      <c r="D31">
        <v>-1380</v>
      </c>
    </row>
    <row r="33" spans="1:6">
      <c r="A33" s="2" t="s">
        <v>56</v>
      </c>
    </row>
    <row r="34" spans="1:6">
      <c r="A34" s="3" t="s">
        <v>53</v>
      </c>
      <c r="B34" s="3" t="s">
        <v>54</v>
      </c>
      <c r="C34" s="3" t="s">
        <v>23</v>
      </c>
      <c r="D34" s="3" t="s">
        <v>24</v>
      </c>
      <c r="E34" s="3" t="s">
        <v>25</v>
      </c>
      <c r="F34" s="3" t="s">
        <v>55</v>
      </c>
    </row>
    <row r="35" spans="1:6">
      <c r="A35" s="4" t="s">
        <v>57</v>
      </c>
      <c r="B35" s="5" t="s">
        <v>58</v>
      </c>
      <c r="C35" s="9" cm="1">
        <f t="array" ref="C35">IN.ASMPT_base("company sales 000units") / IN.ASMPT_base("market size 000units")</f>
        <v>0</v>
      </c>
      <c r="D35" s="9" cm="1">
        <f t="array" ref="D35">IN.ASMPT_payout("company sales 000units") / IN.ASMPT_payout("market size 000units")</f>
        <v>0</v>
      </c>
      <c r="E35" s="9" cm="1">
        <f t="array" ref="E35">IN.ASMPT_deleverage("company sales 000units") / IN.ASMPT_deleverage("market size 000units")</f>
        <v>0</v>
      </c>
      <c r="F35" s="7" t="s">
        <v>59</v>
      </c>
    </row>
    <row r="36" spans="1:6">
      <c r="A36" s="4" t="s">
        <v>60</v>
      </c>
      <c r="B36" s="5" t="s">
        <v>61</v>
      </c>
      <c r="C36" s="9" cm="1">
        <f t="array" ref="C36">IN.ASMPT_base("Sales t0") / IN.ASMPT_base("company sales 000units")</f>
        <v>0</v>
      </c>
      <c r="D36" s="9" cm="1">
        <f t="array" ref="D36">IN.ASMPT_payout("Sales t0") / IN.ASMPT_payout("company sales 000units")</f>
        <v>0</v>
      </c>
      <c r="E36" s="9" cm="1">
        <f t="array" ref="E36">IN.ASMPT_deleverage("Sales t0") / IN.ASMPT_deleverage("company sales 000units")</f>
        <v>0</v>
      </c>
      <c r="F36" s="7" t="s">
        <v>62</v>
      </c>
    </row>
    <row r="37" spans="1:6">
      <c r="A37" s="4" t="s">
        <v>63</v>
      </c>
      <c r="B37" s="5" t="s">
        <v>64</v>
      </c>
      <c r="C37" s="9" cm="1">
        <f t="array" ref="C37">-IN.ASMPT_base("Raw Materials t0") / IN.ASMPT_base("company sales 000units")</f>
        <v>0</v>
      </c>
      <c r="D37" s="9" cm="1">
        <f t="array" ref="D37">-IN.ASMPT_payout("Raw Materials t0") / IN.ASMPT_payout("company sales 000units")</f>
        <v>0</v>
      </c>
      <c r="E37" s="9" cm="1">
        <f t="array" ref="E37">-IN.ASMPT_deleverage("Raw Materials t0") / IN.ASMPT_deleverage("company sales 000units")</f>
        <v>0</v>
      </c>
      <c r="F37" s="7" t="s">
        <v>65</v>
      </c>
    </row>
    <row r="38" spans="1:6">
      <c r="A38" s="4" t="s">
        <v>66</v>
      </c>
      <c r="B38" s="5" t="s">
        <v>67</v>
      </c>
      <c r="C38" s="9" cm="1">
        <f t="array" ref="C38">-IN.ASMPT_base("Direct Labor Costs t0") / IN.ASMPT_base("company sales 000units")</f>
        <v>0</v>
      </c>
      <c r="D38" s="9" cm="1">
        <f t="array" ref="D38">-IN.ASMPT_payout("Direct Labor Costs t0") / IN.ASMPT_payout("company sales 000units")</f>
        <v>0</v>
      </c>
      <c r="E38" s="9" cm="1">
        <f t="array" ref="E38">-IN.ASMPT_deleverage("Direct Labor Costs t0") / IN.ASMPT_deleverage("company sales 000units")</f>
        <v>0</v>
      </c>
      <c r="F38" s="7" t="s">
        <v>68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sheetFormatPr defaultRowHeight="15"/>
  <cols>
    <col min="1" max="1" width="34.7109375" customWidth="1"/>
    <col min="2" max="3" width="16.7109375" customWidth="1"/>
    <col min="4" max="5" width="70.7109375" customWidth="1"/>
  </cols>
  <sheetData>
    <row r="1" spans="1:2">
      <c r="A1" s="1" t="s">
        <v>69</v>
      </c>
    </row>
    <row r="2" spans="1:2">
      <c r="A2" s="2" t="s">
        <v>70</v>
      </c>
    </row>
    <row r="4" spans="1:2">
      <c r="A4" t="s">
        <v>5</v>
      </c>
      <c r="B4" t="s">
        <v>6</v>
      </c>
    </row>
    <row r="5" spans="1:2">
      <c r="A5" t="s">
        <v>71</v>
      </c>
      <c r="B5">
        <v>75000</v>
      </c>
    </row>
    <row r="6" spans="1:2">
      <c r="A6" t="s">
        <v>72</v>
      </c>
      <c r="B6">
        <v>-16000</v>
      </c>
    </row>
    <row r="7" spans="1:2">
      <c r="A7" t="s">
        <v>73</v>
      </c>
      <c r="B7">
        <v>-13600</v>
      </c>
    </row>
    <row r="8" spans="1:2">
      <c r="A8" t="s">
        <v>74</v>
      </c>
      <c r="B8">
        <v>-9800</v>
      </c>
    </row>
    <row r="9" spans="1:2">
      <c r="A9" t="s">
        <v>75</v>
      </c>
      <c r="B9">
        <v>-16500</v>
      </c>
    </row>
    <row r="10" spans="1:2">
      <c r="A10" t="s">
        <v>76</v>
      </c>
      <c r="B10">
        <v>-4580</v>
      </c>
    </row>
    <row r="11" spans="1:2">
      <c r="A11" t="s">
        <v>77</v>
      </c>
      <c r="B11">
        <v>-1380</v>
      </c>
    </row>
    <row r="12" spans="1:2">
      <c r="A12" t="s">
        <v>44</v>
      </c>
      <c r="B12">
        <v>1000</v>
      </c>
    </row>
    <row r="13" spans="1:2">
      <c r="A13" t="s">
        <v>45</v>
      </c>
      <c r="B13">
        <v>10000</v>
      </c>
    </row>
    <row r="14" spans="1:2">
      <c r="A14" t="s">
        <v>78</v>
      </c>
      <c r="B14">
        <v>2022</v>
      </c>
    </row>
    <row r="16" spans="1:2">
      <c r="A16" s="2" t="s">
        <v>56</v>
      </c>
    </row>
    <row r="17" spans="1:4">
      <c r="A17" s="3" t="s">
        <v>53</v>
      </c>
      <c r="B17" s="3" t="s">
        <v>54</v>
      </c>
      <c r="C17" s="3" t="s">
        <v>6</v>
      </c>
      <c r="D17" s="3" t="s">
        <v>55</v>
      </c>
    </row>
    <row r="18" spans="1:4">
      <c r="A18" s="4" t="s">
        <v>57</v>
      </c>
      <c r="B18" s="5" t="s">
        <v>79</v>
      </c>
      <c r="C18" s="9" cm="1">
        <f t="array" ref="C18">IN.ACTUAL("company sales 000units") / IN.ACTUAL("market size 000units")</f>
        <v>0</v>
      </c>
      <c r="D18" s="7" t="s">
        <v>59</v>
      </c>
    </row>
    <row r="19" spans="1:4">
      <c r="A19" s="4" t="s">
        <v>60</v>
      </c>
      <c r="B19" s="5" t="s">
        <v>80</v>
      </c>
      <c r="C19" s="9" cm="1">
        <f t="array" ref="C19">IN.ACTUAL("Sales") / IN.ACTUAL("company sales 000units")</f>
        <v>0</v>
      </c>
      <c r="D19" s="7" t="s">
        <v>81</v>
      </c>
    </row>
    <row r="20" spans="1:4">
      <c r="A20" s="4" t="s">
        <v>63</v>
      </c>
      <c r="B20" s="5" t="s">
        <v>82</v>
      </c>
      <c r="C20" s="9" cm="1">
        <f t="array" ref="C20">-IN.ACTUAL("Raw Materials") / IN.ACTUAL("company sales 000units")</f>
        <v>0</v>
      </c>
      <c r="D20" s="7" t="s">
        <v>83</v>
      </c>
    </row>
    <row r="21" spans="1:4">
      <c r="A21" s="4" t="s">
        <v>66</v>
      </c>
      <c r="B21" s="5" t="s">
        <v>84</v>
      </c>
      <c r="C21" s="9" cm="1">
        <f t="array" ref="C21">-IN.ACTUAL("Direct Labor Costs") / IN.ACTUAL("company sales 000units")</f>
        <v>0</v>
      </c>
      <c r="D21" s="7" t="s">
        <v>85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34.7109375" customWidth="1"/>
    <col min="2" max="2" width="22.7109375" customWidth="1"/>
    <col min="3" max="5" width="16.7109375" customWidth="1"/>
    <col min="6" max="7" width="70.7109375" customWidth="1"/>
  </cols>
  <sheetData>
    <row r="1" spans="1:7">
      <c r="A1" s="1" t="s">
        <v>86</v>
      </c>
    </row>
    <row r="2" spans="1:7">
      <c r="A2" s="2" t="s">
        <v>87</v>
      </c>
    </row>
    <row r="4" spans="1:7">
      <c r="A4" t="s">
        <v>5</v>
      </c>
      <c r="B4" t="s">
        <v>23</v>
      </c>
      <c r="C4" t="s">
        <v>24</v>
      </c>
      <c r="D4" t="s">
        <v>25</v>
      </c>
    </row>
    <row r="5" spans="1:7">
      <c r="A5" t="s">
        <v>88</v>
      </c>
      <c r="B5">
        <v>0.08</v>
      </c>
      <c r="C5">
        <v>0.08</v>
      </c>
      <c r="D5">
        <v>0.08</v>
      </c>
    </row>
    <row r="6" spans="1:7">
      <c r="A6" t="s">
        <v>89</v>
      </c>
      <c r="B6">
        <v>0.0444</v>
      </c>
      <c r="C6">
        <v>0.0444</v>
      </c>
      <c r="D6">
        <v>0.0444</v>
      </c>
      <c r="F6" s="10" t="s">
        <v>93</v>
      </c>
      <c r="G6" s="7" t="s">
        <v>94</v>
      </c>
    </row>
    <row r="7" spans="1:7">
      <c r="A7" t="s">
        <v>90</v>
      </c>
      <c r="B7">
        <v>0.35</v>
      </c>
      <c r="C7">
        <v>0.35</v>
      </c>
      <c r="D7">
        <v>0.35</v>
      </c>
    </row>
    <row r="8" spans="1:7">
      <c r="A8" t="s">
        <v>91</v>
      </c>
      <c r="B8">
        <v>0.02</v>
      </c>
      <c r="C8">
        <v>0.02</v>
      </c>
      <c r="D8">
        <v>0.02</v>
      </c>
    </row>
    <row r="9" spans="1:7">
      <c r="A9" t="s">
        <v>92</v>
      </c>
      <c r="B9">
        <v>0.6</v>
      </c>
      <c r="C9">
        <v>1</v>
      </c>
      <c r="D9">
        <v>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G43"/>
  <sheetViews>
    <sheetView workbookViewId="0"/>
  </sheetViews>
  <sheetFormatPr defaultRowHeight="15"/>
  <cols>
    <col min="1" max="1" width="30.7109375" customWidth="1"/>
    <col min="2" max="2" width="27.7109375" customWidth="1"/>
    <col min="3" max="7" width="14.7109375" customWidth="1"/>
  </cols>
  <sheetData>
    <row r="1" spans="1:7">
      <c r="A1" s="1" t="s">
        <v>95</v>
      </c>
    </row>
    <row r="2" spans="1:7">
      <c r="A2" s="2" t="s">
        <v>96</v>
      </c>
    </row>
    <row r="3" spans="1:7">
      <c r="A3" s="2" t="s">
        <v>97</v>
      </c>
    </row>
    <row r="5" spans="1:7">
      <c r="A5" s="3" t="s">
        <v>98</v>
      </c>
      <c r="B5" s="3" t="s">
        <v>54</v>
      </c>
      <c r="C5" s="6" cm="1">
        <f t="array" ref="C5:G5">Model!Years</f>
        <v>0</v>
      </c>
      <c r="D5" s="6">
        <v>0</v>
      </c>
      <c r="E5" s="6">
        <v>0</v>
      </c>
      <c r="F5" s="6">
        <v>0</v>
      </c>
      <c r="G5" s="6">
        <v>0</v>
      </c>
    </row>
    <row r="6" spans="1:7">
      <c r="A6" s="4" t="s">
        <v>45</v>
      </c>
      <c r="B6" s="5" t="s">
        <v>99</v>
      </c>
      <c r="C6" s="9" cm="1">
        <f t="array" ref="C6:G6">FN.GROW(IN.ACTUAL("market size 000units"), IN.ASMPT_base("market size g"), Model!Periods)</f>
        <v>0</v>
      </c>
      <c r="D6" s="9">
        <v>0</v>
      </c>
      <c r="E6" s="9">
        <v>0</v>
      </c>
      <c r="F6" s="9">
        <v>0</v>
      </c>
      <c r="G6" s="9">
        <v>0</v>
      </c>
    </row>
    <row r="7" spans="1:7">
      <c r="A7" s="4" t="s">
        <v>57</v>
      </c>
      <c r="B7" s="5" t="s">
        <v>58</v>
      </c>
      <c r="C7" s="9" cm="1">
        <f t="array" ref="C7:G7">FN.GROW(LastActuals!MarketShare, IN.ASMPT_base("market share g"), Model!Periods)</f>
        <v>0</v>
      </c>
      <c r="D7" s="9">
        <v>0</v>
      </c>
      <c r="E7" s="9">
        <v>0</v>
      </c>
      <c r="F7" s="9">
        <v>0</v>
      </c>
      <c r="G7" s="9">
        <v>0</v>
      </c>
    </row>
    <row r="8" spans="1:7">
      <c r="A8" s="4" t="s">
        <v>44</v>
      </c>
      <c r="B8" s="5" t="s">
        <v>100</v>
      </c>
      <c r="C8" s="9" cm="1">
        <f t="array" ref="C8:G8">MarketSize_base * MarketShare_base</f>
        <v>0</v>
      </c>
      <c r="D8" s="9">
        <v>0</v>
      </c>
      <c r="E8" s="9">
        <v>0</v>
      </c>
      <c r="F8" s="9">
        <v>0</v>
      </c>
      <c r="G8" s="9">
        <v>0</v>
      </c>
    </row>
    <row r="9" spans="1:7">
      <c r="A9" s="4" t="s">
        <v>60</v>
      </c>
      <c r="B9" s="5" t="s">
        <v>61</v>
      </c>
      <c r="C9" s="9" cm="1">
        <f t="array" ref="C9:G9">FN.GROW(LastActuals!AvgSalesPrice, IN.ASMPT_base("avg sales price g"), Model!Periods)</f>
        <v>0</v>
      </c>
      <c r="D9" s="9">
        <v>0</v>
      </c>
      <c r="E9" s="9">
        <v>0</v>
      </c>
      <c r="F9" s="9">
        <v>0</v>
      </c>
      <c r="G9" s="9">
        <v>0</v>
      </c>
    </row>
    <row r="10" spans="1:7">
      <c r="A10" s="4" t="s">
        <v>63</v>
      </c>
      <c r="B10" s="5" t="s">
        <v>64</v>
      </c>
      <c r="C10" s="9" cm="1">
        <f t="array" ref="C10:G10">FN.GROW(LastActuals!RawMatUnitCost, IN.ASMPT_base("raw material unit cost g"), Model!Periods)</f>
        <v>0</v>
      </c>
      <c r="D10" s="9">
        <v>0</v>
      </c>
      <c r="E10" s="9">
        <v>0</v>
      </c>
      <c r="F10" s="9">
        <v>0</v>
      </c>
      <c r="G10" s="9">
        <v>0</v>
      </c>
    </row>
    <row r="11" spans="1:7">
      <c r="A11" s="4" t="s">
        <v>66</v>
      </c>
      <c r="B11" s="5" t="s">
        <v>67</v>
      </c>
      <c r="C11" s="9" cm="1">
        <f t="array" ref="C11:G11">FN.GROW(LastActuals!DirLabUnitCost, IN.ASMPT_base("direct labor unit cost g"), Model!Periods)</f>
        <v>0</v>
      </c>
      <c r="D11" s="9">
        <v>0</v>
      </c>
      <c r="E11" s="9">
        <v>0</v>
      </c>
      <c r="F11" s="9">
        <v>0</v>
      </c>
      <c r="G11" s="9">
        <v>0</v>
      </c>
    </row>
    <row r="13" spans="1:7">
      <c r="A13" s="3" t="s">
        <v>101</v>
      </c>
      <c r="B13" s="3" t="s">
        <v>54</v>
      </c>
      <c r="C13" s="6" cm="1">
        <f t="array" ref="C13:G13">Model!Years</f>
        <v>0</v>
      </c>
      <c r="D13" s="6">
        <v>0</v>
      </c>
      <c r="E13" s="6">
        <v>0</v>
      </c>
      <c r="F13" s="6">
        <v>0</v>
      </c>
      <c r="G13" s="6">
        <v>0</v>
      </c>
    </row>
    <row r="14" spans="1:7">
      <c r="A14" s="4" t="s">
        <v>45</v>
      </c>
      <c r="B14" s="5" t="s">
        <v>102</v>
      </c>
      <c r="C14" s="9" cm="1">
        <f t="array" ref="C14:G14">FN.GROW(IN.ACTUAL("market size 000units"), IN.ASMPT_payout("market size g"), Model!Periods)</f>
        <v>0</v>
      </c>
      <c r="D14" s="9">
        <v>0</v>
      </c>
      <c r="E14" s="9">
        <v>0</v>
      </c>
      <c r="F14" s="9">
        <v>0</v>
      </c>
      <c r="G14" s="9">
        <v>0</v>
      </c>
    </row>
    <row r="15" spans="1:7">
      <c r="A15" s="4" t="s">
        <v>57</v>
      </c>
      <c r="B15" s="5" t="s">
        <v>103</v>
      </c>
      <c r="C15" s="9" cm="1">
        <f t="array" ref="C15:G15">FN.GROW(LastActuals!MarketShare, IN.ASMPT_payout("market share g"), Model!Periods)</f>
        <v>0</v>
      </c>
      <c r="D15" s="9">
        <v>0</v>
      </c>
      <c r="E15" s="9">
        <v>0</v>
      </c>
      <c r="F15" s="9">
        <v>0</v>
      </c>
      <c r="G15" s="9">
        <v>0</v>
      </c>
    </row>
    <row r="16" spans="1:7">
      <c r="A16" s="4" t="s">
        <v>44</v>
      </c>
      <c r="B16" s="5" t="s">
        <v>104</v>
      </c>
      <c r="C16" s="9" cm="1">
        <f t="array" ref="C16:G16">MarketSize_payout * MarketShare_payout</f>
        <v>0</v>
      </c>
      <c r="D16" s="9">
        <v>0</v>
      </c>
      <c r="E16" s="9">
        <v>0</v>
      </c>
      <c r="F16" s="9">
        <v>0</v>
      </c>
      <c r="G16" s="9">
        <v>0</v>
      </c>
    </row>
    <row r="17" spans="1:7">
      <c r="A17" s="4" t="s">
        <v>60</v>
      </c>
      <c r="B17" s="5" t="s">
        <v>105</v>
      </c>
      <c r="C17" s="9" cm="1">
        <f t="array" ref="C17:G17">FN.GROW(LastActuals!AvgSalesPrice, IN.ASMPT_payout("avg sales price g"), Model!Periods)</f>
        <v>0</v>
      </c>
      <c r="D17" s="9">
        <v>0</v>
      </c>
      <c r="E17" s="9">
        <v>0</v>
      </c>
      <c r="F17" s="9">
        <v>0</v>
      </c>
      <c r="G17" s="9">
        <v>0</v>
      </c>
    </row>
    <row r="18" spans="1:7">
      <c r="A18" s="4" t="s">
        <v>63</v>
      </c>
      <c r="B18" s="5" t="s">
        <v>106</v>
      </c>
      <c r="C18" s="9" cm="1">
        <f t="array" ref="C18:G18">FN.GROW(LastActuals!RawMatUnitCost, IN.ASMPT_payout("raw material unit cost g"), Model!Periods)</f>
        <v>0</v>
      </c>
      <c r="D18" s="9">
        <v>0</v>
      </c>
      <c r="E18" s="9">
        <v>0</v>
      </c>
      <c r="F18" s="9">
        <v>0</v>
      </c>
      <c r="G18" s="9">
        <v>0</v>
      </c>
    </row>
    <row r="19" spans="1:7">
      <c r="A19" s="4" t="s">
        <v>66</v>
      </c>
      <c r="B19" s="5" t="s">
        <v>107</v>
      </c>
      <c r="C19" s="9" cm="1">
        <f t="array" ref="C19:G19">FN.GROW(LastActuals!DirLabUnitCost, IN.ASMPT_payout("direct labor unit cost g"), Model!Periods)</f>
        <v>0</v>
      </c>
      <c r="D19" s="9">
        <v>0</v>
      </c>
      <c r="E19" s="9">
        <v>0</v>
      </c>
      <c r="F19" s="9">
        <v>0</v>
      </c>
      <c r="G19" s="9">
        <v>0</v>
      </c>
    </row>
    <row r="21" spans="1:7">
      <c r="A21" s="3" t="s">
        <v>108</v>
      </c>
      <c r="B21" s="3" t="s">
        <v>54</v>
      </c>
      <c r="C21" s="6" cm="1">
        <f t="array" ref="C21:G21">Model!Years</f>
        <v>0</v>
      </c>
      <c r="D21" s="6">
        <v>0</v>
      </c>
      <c r="E21" s="6">
        <v>0</v>
      </c>
      <c r="F21" s="6">
        <v>0</v>
      </c>
      <c r="G21" s="6">
        <v>0</v>
      </c>
    </row>
    <row r="22" spans="1:7">
      <c r="A22" s="4" t="s">
        <v>45</v>
      </c>
      <c r="B22" s="5" t="s">
        <v>109</v>
      </c>
      <c r="C22" s="9" cm="1">
        <f t="array" ref="C22:G22">FN.GROW(IN.ACTUAL("market size 000units"), IN.ASMPT_deleverage("market size g"), Model!Periods)</f>
        <v>0</v>
      </c>
      <c r="D22" s="9">
        <v>0</v>
      </c>
      <c r="E22" s="9">
        <v>0</v>
      </c>
      <c r="F22" s="9">
        <v>0</v>
      </c>
      <c r="G22" s="9">
        <v>0</v>
      </c>
    </row>
    <row r="23" spans="1:7">
      <c r="A23" s="4" t="s">
        <v>57</v>
      </c>
      <c r="B23" s="5" t="s">
        <v>110</v>
      </c>
      <c r="C23" s="9" cm="1">
        <f t="array" ref="C23:G23">FN.GROW(LastActuals!MarketShare, IN.ASMPT_deleverage("market share g"), Model!Periods)</f>
        <v>0</v>
      </c>
      <c r="D23" s="9">
        <v>0</v>
      </c>
      <c r="E23" s="9">
        <v>0</v>
      </c>
      <c r="F23" s="9">
        <v>0</v>
      </c>
      <c r="G23" s="9">
        <v>0</v>
      </c>
    </row>
    <row r="24" spans="1:7">
      <c r="A24" s="4" t="s">
        <v>44</v>
      </c>
      <c r="B24" s="5" t="s">
        <v>111</v>
      </c>
      <c r="C24" s="9" cm="1">
        <f t="array" ref="C24:G24">MarketSize_deleverage * MarketShare_deleverage</f>
        <v>0</v>
      </c>
      <c r="D24" s="9">
        <v>0</v>
      </c>
      <c r="E24" s="9">
        <v>0</v>
      </c>
      <c r="F24" s="9">
        <v>0</v>
      </c>
      <c r="G24" s="9">
        <v>0</v>
      </c>
    </row>
    <row r="25" spans="1:7">
      <c r="A25" s="4" t="s">
        <v>60</v>
      </c>
      <c r="B25" s="5" t="s">
        <v>112</v>
      </c>
      <c r="C25" s="9" cm="1">
        <f t="array" ref="C25:G25">FN.GROW(LastActuals!AvgSalesPrice, IN.ASMPT_deleverage("avg sales price g"), Model!Periods)</f>
        <v>0</v>
      </c>
      <c r="D25" s="9">
        <v>0</v>
      </c>
      <c r="E25" s="9">
        <v>0</v>
      </c>
      <c r="F25" s="9">
        <v>0</v>
      </c>
      <c r="G25" s="9">
        <v>0</v>
      </c>
    </row>
    <row r="26" spans="1:7">
      <c r="A26" s="4" t="s">
        <v>63</v>
      </c>
      <c r="B26" s="5" t="s">
        <v>113</v>
      </c>
      <c r="C26" s="9" cm="1">
        <f t="array" ref="C26:G26">FN.GROW(LastActuals!RawMatUnitCost, IN.ASMPT_deleverage("raw material unit cost g"), Model!Periods)</f>
        <v>0</v>
      </c>
      <c r="D26" s="9">
        <v>0</v>
      </c>
      <c r="E26" s="9">
        <v>0</v>
      </c>
      <c r="F26" s="9">
        <v>0</v>
      </c>
      <c r="G26" s="9">
        <v>0</v>
      </c>
    </row>
    <row r="27" spans="1:7">
      <c r="A27" s="4" t="s">
        <v>66</v>
      </c>
      <c r="B27" s="5" t="s">
        <v>114</v>
      </c>
      <c r="C27" s="9" cm="1">
        <f t="array" ref="C27:G27">FN.GROW(LastActuals!DirLabUnitCost, IN.ASMPT_deleverage("direct labor unit cost g"), Model!Periods)</f>
        <v>0</v>
      </c>
      <c r="D27" s="9">
        <v>0</v>
      </c>
      <c r="E27" s="9">
        <v>0</v>
      </c>
      <c r="F27" s="9">
        <v>0</v>
      </c>
      <c r="G27" s="9">
        <v>0</v>
      </c>
    </row>
    <row r="30" spans="1:7">
      <c r="A30" s="3" t="s">
        <v>115</v>
      </c>
      <c r="B30" s="3"/>
    </row>
    <row r="31" spans="1:7">
      <c r="A31" s="7" t="s">
        <v>116</v>
      </c>
      <c r="B31" s="5" t="s">
        <v>99</v>
      </c>
    </row>
    <row r="32" spans="1:7">
      <c r="A32" s="7" t="s">
        <v>117</v>
      </c>
      <c r="B32" s="5" t="s">
        <v>99</v>
      </c>
    </row>
    <row r="33" spans="1:2">
      <c r="A33" s="7" t="s">
        <v>118</v>
      </c>
      <c r="B33" s="5" t="s">
        <v>58</v>
      </c>
    </row>
    <row r="34" spans="1:2">
      <c r="A34" s="7" t="s">
        <v>119</v>
      </c>
      <c r="B34" s="5" t="s">
        <v>58</v>
      </c>
    </row>
    <row r="35" spans="1:2">
      <c r="A35" s="7" t="s">
        <v>120</v>
      </c>
      <c r="B35" s="5" t="s">
        <v>100</v>
      </c>
    </row>
    <row r="36" spans="1:2">
      <c r="A36" s="7" t="s">
        <v>121</v>
      </c>
      <c r="B36" s="5" t="s">
        <v>61</v>
      </c>
    </row>
    <row r="37" spans="1:2">
      <c r="A37" s="7" t="s">
        <v>122</v>
      </c>
      <c r="B37" s="5" t="s">
        <v>61</v>
      </c>
    </row>
    <row r="38" spans="1:2">
      <c r="A38" s="7" t="s">
        <v>123</v>
      </c>
      <c r="B38" s="5" t="s">
        <v>64</v>
      </c>
    </row>
    <row r="39" spans="1:2">
      <c r="A39" s="7" t="s">
        <v>124</v>
      </c>
      <c r="B39" s="5" t="s">
        <v>64</v>
      </c>
    </row>
    <row r="40" spans="1:2">
      <c r="A40" s="7" t="s">
        <v>125</v>
      </c>
      <c r="B40" s="5" t="s">
        <v>67</v>
      </c>
    </row>
    <row r="41" spans="1:2">
      <c r="A41" s="7" t="s">
        <v>126</v>
      </c>
      <c r="B41" s="5" t="s">
        <v>67</v>
      </c>
    </row>
    <row r="43" spans="1:2">
      <c r="A43" s="2" t="s">
        <v>127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34.7109375" customWidth="1"/>
    <col min="2" max="2" width="21.7109375" customWidth="1"/>
    <col min="3" max="7" width="15.7109375" customWidth="1"/>
  </cols>
  <sheetData>
    <row r="1" spans="1:7">
      <c r="A1" s="1" t="s">
        <v>128</v>
      </c>
    </row>
    <row r="2" spans="1:7">
      <c r="A2" s="2" t="s">
        <v>129</v>
      </c>
    </row>
    <row r="3" spans="1:7">
      <c r="A3" s="2" t="s">
        <v>97</v>
      </c>
    </row>
    <row r="5" spans="1:7">
      <c r="A5" s="3" t="s">
        <v>98</v>
      </c>
      <c r="B5" s="3" t="s">
        <v>54</v>
      </c>
      <c r="C5" s="6" cm="1">
        <f t="array" ref="C5:G5">Model!Years</f>
        <v>0</v>
      </c>
      <c r="D5" s="6">
        <v>0</v>
      </c>
      <c r="E5" s="6">
        <v>0</v>
      </c>
      <c r="F5" s="6">
        <v>0</v>
      </c>
      <c r="G5" s="6">
        <v>0</v>
      </c>
    </row>
    <row r="6" spans="1:7">
      <c r="A6" s="4" t="s">
        <v>130</v>
      </c>
      <c r="B6" s="5" t="s">
        <v>131</v>
      </c>
      <c r="C6" s="11">
        <v>90000</v>
      </c>
      <c r="D6" s="11">
        <v>95000</v>
      </c>
      <c r="E6" s="11">
        <v>100000</v>
      </c>
      <c r="F6" s="11">
        <v>98000</v>
      </c>
      <c r="G6" s="11">
        <v>99000</v>
      </c>
    </row>
    <row r="7" spans="1:7">
      <c r="A7" s="4" t="s">
        <v>132</v>
      </c>
      <c r="B7" s="5" t="s">
        <v>133</v>
      </c>
      <c r="C7" s="11" cm="1">
        <f t="array" ref="C7:G7">FN.PREV(OutstandingDebt_base) * IN.RATE_base("cost of debt")</f>
        <v>0</v>
      </c>
      <c r="D7" s="11">
        <v>0</v>
      </c>
      <c r="E7" s="11">
        <v>0</v>
      </c>
      <c r="F7" s="11">
        <v>0</v>
      </c>
      <c r="G7" s="11">
        <v>0</v>
      </c>
    </row>
    <row r="10" spans="1:7">
      <c r="A10" s="3" t="s">
        <v>101</v>
      </c>
      <c r="B10" s="3" t="s">
        <v>54</v>
      </c>
      <c r="C10" s="6" cm="1">
        <f t="array" ref="C10:G10">Model!Years</f>
        <v>0</v>
      </c>
      <c r="D10" s="6">
        <v>0</v>
      </c>
      <c r="E10" s="6">
        <v>0</v>
      </c>
      <c r="F10" s="6">
        <v>0</v>
      </c>
      <c r="G10" s="6">
        <v>0</v>
      </c>
    </row>
    <row r="11" spans="1:7">
      <c r="A11" s="4" t="s">
        <v>130</v>
      </c>
      <c r="B11" s="5" t="s">
        <v>134</v>
      </c>
      <c r="C11" s="11">
        <v>90000</v>
      </c>
      <c r="D11" s="11">
        <v>95000</v>
      </c>
      <c r="E11" s="11">
        <v>100000</v>
      </c>
      <c r="F11" s="11">
        <v>98000</v>
      </c>
      <c r="G11" s="11">
        <v>99000</v>
      </c>
    </row>
    <row r="12" spans="1:7">
      <c r="A12" s="4" t="s">
        <v>132</v>
      </c>
      <c r="B12" s="5" t="s">
        <v>135</v>
      </c>
      <c r="C12" s="11" cm="1">
        <f t="array" ref="C12:G12">FN.PREV(OutstandingDebt_payout) * IN.RATE_payout("cost of debt")</f>
        <v>0</v>
      </c>
      <c r="D12" s="11">
        <v>0</v>
      </c>
      <c r="E12" s="11">
        <v>0</v>
      </c>
      <c r="F12" s="11">
        <v>0</v>
      </c>
      <c r="G12" s="11">
        <v>0</v>
      </c>
    </row>
    <row r="15" spans="1:7">
      <c r="A15" s="3" t="s">
        <v>108</v>
      </c>
      <c r="B15" s="3" t="s">
        <v>54</v>
      </c>
      <c r="C15" s="6" cm="1">
        <f t="array" ref="C15:G15">Model!Years</f>
        <v>0</v>
      </c>
      <c r="D15" s="6">
        <v>0</v>
      </c>
      <c r="E15" s="6">
        <v>0</v>
      </c>
      <c r="F15" s="6">
        <v>0</v>
      </c>
      <c r="G15" s="6">
        <v>0</v>
      </c>
    </row>
    <row r="16" spans="1:7">
      <c r="A16" s="4" t="s">
        <v>130</v>
      </c>
      <c r="B16" s="5" t="s">
        <v>136</v>
      </c>
      <c r="C16" s="11">
        <v>90000</v>
      </c>
      <c r="D16" s="11">
        <v>70000</v>
      </c>
      <c r="E16" s="11">
        <v>50000</v>
      </c>
      <c r="F16" s="11">
        <v>30000</v>
      </c>
      <c r="G16" s="11">
        <v>10000</v>
      </c>
    </row>
    <row r="17" spans="1:7">
      <c r="A17" s="4" t="s">
        <v>132</v>
      </c>
      <c r="B17" s="5" t="s">
        <v>137</v>
      </c>
      <c r="C17" s="11" cm="1">
        <f t="array" ref="C17:G17">FN.PREV(OutstandingDebt_deleverage) * IN.RATE_deleverage("cost of debt")</f>
        <v>0</v>
      </c>
      <c r="D17" s="11">
        <v>0</v>
      </c>
      <c r="E17" s="11">
        <v>0</v>
      </c>
      <c r="F17" s="11">
        <v>0</v>
      </c>
      <c r="G17" s="11">
        <v>0</v>
      </c>
    </row>
    <row r="21" spans="1:7">
      <c r="A21" s="3" t="s">
        <v>115</v>
      </c>
    </row>
    <row r="22" spans="1:7">
      <c r="A22" s="7" t="s">
        <v>138</v>
      </c>
      <c r="B22" s="5" t="s">
        <v>133</v>
      </c>
    </row>
    <row r="24" spans="1:7">
      <c r="A24" s="2" t="s">
        <v>139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88"/>
  <sheetViews>
    <sheetView workbookViewId="0"/>
  </sheetViews>
  <sheetFormatPr defaultRowHeight="15"/>
  <cols>
    <col min="1" max="1" width="34.7109375" customWidth="1"/>
    <col min="2" max="2" width="43.7109375" customWidth="1"/>
    <col min="3" max="7" width="15.7109375" customWidth="1"/>
  </cols>
  <sheetData>
    <row r="1" spans="1:7">
      <c r="A1" s="1" t="s">
        <v>140</v>
      </c>
    </row>
    <row r="2" spans="1:7">
      <c r="A2" s="2" t="s">
        <v>141</v>
      </c>
    </row>
    <row r="3" spans="1:7">
      <c r="A3" s="2" t="s">
        <v>97</v>
      </c>
    </row>
    <row r="5" spans="1:7">
      <c r="A5" s="3" t="s">
        <v>98</v>
      </c>
      <c r="B5" s="3" t="s">
        <v>54</v>
      </c>
      <c r="C5" s="6" cm="1">
        <f t="array" ref="C5:G5">Model!Years</f>
        <v>0</v>
      </c>
      <c r="D5" s="6">
        <v>0</v>
      </c>
      <c r="E5" s="6">
        <v>0</v>
      </c>
      <c r="F5" s="6">
        <v>0</v>
      </c>
      <c r="G5" s="6">
        <v>0</v>
      </c>
    </row>
    <row r="6" spans="1:7">
      <c r="A6" s="4" t="s">
        <v>71</v>
      </c>
      <c r="B6" s="5" t="s">
        <v>142</v>
      </c>
      <c r="C6" s="9" cm="1">
        <f t="array" ref="C6:G6">FN.SEEDROW(IN.ACTUAL("Sales"), SalesCOGS!CompanySales_base * SalesCOGS!AvgSalesPrice_base)</f>
        <v>0</v>
      </c>
      <c r="D6" s="9">
        <v>0</v>
      </c>
      <c r="E6" s="9">
        <v>0</v>
      </c>
      <c r="F6" s="9">
        <v>0</v>
      </c>
      <c r="G6" s="9">
        <v>0</v>
      </c>
    </row>
    <row r="7" spans="1:7">
      <c r="A7" s="4" t="s">
        <v>72</v>
      </c>
      <c r="B7" s="5" t="s">
        <v>143</v>
      </c>
      <c r="C7" s="9" cm="1">
        <f t="array" ref="C7:G7">FN.SEEDROW(IN.ACTUAL("Raw Materials"), -SalesCOGS!CompanySales_base * SalesCOGS!RawMatUnitCost_base)</f>
        <v>0</v>
      </c>
      <c r="D7" s="9">
        <v>0</v>
      </c>
      <c r="E7" s="9">
        <v>0</v>
      </c>
      <c r="F7" s="9">
        <v>0</v>
      </c>
      <c r="G7" s="9">
        <v>0</v>
      </c>
    </row>
    <row r="8" spans="1:7">
      <c r="A8" s="4" t="s">
        <v>73</v>
      </c>
      <c r="B8" s="5" t="s">
        <v>144</v>
      </c>
      <c r="C8" s="9" cm="1">
        <f t="array" ref="C8:G8">FN.SEEDROW(IN.ACTUAL("Direct Labor Costs"), -SalesCOGS!CompanySales_base * SalesCOGS!DirLabUnitCost_base)</f>
        <v>0</v>
      </c>
      <c r="D8" s="9">
        <v>0</v>
      </c>
      <c r="E8" s="9">
        <v>0</v>
      </c>
      <c r="F8" s="9">
        <v>0</v>
      </c>
      <c r="G8" s="9">
        <v>0</v>
      </c>
    </row>
    <row r="9" spans="1:7">
      <c r="A9" s="4" t="s">
        <v>145</v>
      </c>
      <c r="B9" s="5" t="s">
        <v>146</v>
      </c>
      <c r="C9" s="9" cm="1">
        <f t="array" ref="C9:G9">Sales_base + RawMaterials_base + DirectLaborCosts_base</f>
        <v>0</v>
      </c>
      <c r="D9" s="9">
        <v>0</v>
      </c>
      <c r="E9" s="9">
        <v>0</v>
      </c>
      <c r="F9" s="9">
        <v>0</v>
      </c>
      <c r="G9" s="9">
        <v>0</v>
      </c>
    </row>
    <row r="10" spans="1:7">
      <c r="A10" s="4" t="s">
        <v>74</v>
      </c>
      <c r="B10" s="5" t="s">
        <v>147</v>
      </c>
      <c r="C10" s="9" cm="1">
        <f t="array" ref="C10:G10">FN.SEEDROW(IN.ACTUAL("Sales and Marketing"), -Sales_base * IN.ASMPT_base("sales mktg expense on sales"))</f>
        <v>0</v>
      </c>
      <c r="D10" s="9">
        <v>0</v>
      </c>
      <c r="E10" s="9">
        <v>0</v>
      </c>
      <c r="F10" s="9">
        <v>0</v>
      </c>
      <c r="G10" s="9">
        <v>0</v>
      </c>
    </row>
    <row r="11" spans="1:7">
      <c r="A11" s="4" t="s">
        <v>75</v>
      </c>
      <c r="B11" s="5" t="s">
        <v>148</v>
      </c>
      <c r="C11" s="9" cm="1">
        <f t="array" ref="C11:G11">FN.SEEDROW(IN.ACTUAL("Administrative"), -Sales_base * IN.ASMPT_base("admin expense on sales"))</f>
        <v>0</v>
      </c>
      <c r="D11" s="9">
        <v>0</v>
      </c>
      <c r="E11" s="9">
        <v>0</v>
      </c>
      <c r="F11" s="9">
        <v>0</v>
      </c>
      <c r="G11" s="9">
        <v>0</v>
      </c>
    </row>
    <row r="12" spans="1:7">
      <c r="A12" s="4" t="s">
        <v>149</v>
      </c>
      <c r="B12" s="5" t="s">
        <v>150</v>
      </c>
      <c r="C12" s="9" cm="1">
        <f t="array" ref="C12:G12">GrossProfit_base + SalesAndMarketing_base + Administrative_base</f>
        <v>0</v>
      </c>
      <c r="D12" s="9">
        <v>0</v>
      </c>
      <c r="E12" s="9">
        <v>0</v>
      </c>
      <c r="F12" s="9">
        <v>0</v>
      </c>
      <c r="G12" s="9">
        <v>0</v>
      </c>
    </row>
    <row r="13" spans="1:7">
      <c r="A13" s="4" t="s">
        <v>76</v>
      </c>
      <c r="B13" s="5" t="s">
        <v>151</v>
      </c>
      <c r="C13" s="9" cm="1">
        <f t="array" ref="C13:G13">FN.SEEDROW(IN.ACTUAL("Depreciation"), BS!Depreciation_base)</f>
        <v>0</v>
      </c>
      <c r="D13" s="9">
        <v>0</v>
      </c>
      <c r="E13" s="9">
        <v>0</v>
      </c>
      <c r="F13" s="9">
        <v>0</v>
      </c>
      <c r="G13" s="9">
        <v>0</v>
      </c>
    </row>
    <row r="14" spans="1:7">
      <c r="A14" s="4" t="s">
        <v>152</v>
      </c>
      <c r="B14" s="5" t="s">
        <v>153</v>
      </c>
      <c r="C14" s="9" cm="1">
        <f t="array" ref="C14:G14">EBITDA_base + Depreciation_base</f>
        <v>0</v>
      </c>
      <c r="D14" s="9">
        <v>0</v>
      </c>
      <c r="E14" s="9">
        <v>0</v>
      </c>
      <c r="F14" s="9">
        <v>0</v>
      </c>
      <c r="G14" s="9">
        <v>0</v>
      </c>
    </row>
    <row r="15" spans="1:7">
      <c r="A15" s="4" t="s">
        <v>154</v>
      </c>
      <c r="B15" s="5" t="s">
        <v>155</v>
      </c>
      <c r="C15" s="9" cm="1">
        <f t="array" ref="C15:G15">FN.SEEDROW(-IN.ACTUAL("Interest expenses"), -FinDebt!Interest_base)</f>
        <v>0</v>
      </c>
      <c r="D15" s="9">
        <v>0</v>
      </c>
      <c r="E15" s="9">
        <v>0</v>
      </c>
      <c r="F15" s="9">
        <v>0</v>
      </c>
      <c r="G15" s="9">
        <v>0</v>
      </c>
    </row>
    <row r="16" spans="1:7">
      <c r="A16" s="4" t="s">
        <v>156</v>
      </c>
      <c r="B16" s="5" t="s">
        <v>157</v>
      </c>
      <c r="C16" s="9" cm="1">
        <f t="array" ref="C16:G16">FN.SEEDROW(0, IN.RATE_base("excess cash interest rate") * 'SCF recursive'!AvgExcessCash_base)</f>
        <v>0</v>
      </c>
      <c r="D16" s="9">
        <v>0</v>
      </c>
      <c r="E16" s="9">
        <v>0</v>
      </c>
      <c r="F16" s="9">
        <v>0</v>
      </c>
      <c r="G16" s="9">
        <v>0</v>
      </c>
    </row>
    <row r="17" spans="1:7">
      <c r="A17" s="4" t="s">
        <v>158</v>
      </c>
      <c r="B17" s="5" t="s">
        <v>159</v>
      </c>
      <c r="C17" s="9" cm="1">
        <f t="array" ref="C17:G17">FN.SEEDROW(0, -(IN.RATE_base("overdraft interest rate") * 'SCF recursive'!AvgOverdraft_base))</f>
        <v>0</v>
      </c>
      <c r="D17" s="9">
        <v>0</v>
      </c>
      <c r="E17" s="9">
        <v>0</v>
      </c>
      <c r="F17" s="9">
        <v>0</v>
      </c>
      <c r="G17" s="9">
        <v>0</v>
      </c>
    </row>
    <row r="18" spans="1:7">
      <c r="A18" s="4" t="s">
        <v>160</v>
      </c>
      <c r="B18" s="5" t="s">
        <v>161</v>
      </c>
      <c r="C18" s="9" cm="1">
        <f t="array" ref="C18:G18">InterestOnFinancialDebt_base + InterestIncomeOnExcessCash_base + InterestExpenseOnBankOverdraft_base</f>
        <v>0</v>
      </c>
      <c r="D18" s="9">
        <v>0</v>
      </c>
      <c r="E18" s="9">
        <v>0</v>
      </c>
      <c r="F18" s="9">
        <v>0</v>
      </c>
      <c r="G18" s="9">
        <v>0</v>
      </c>
    </row>
    <row r="19" spans="1:7">
      <c r="A19" s="4" t="s">
        <v>162</v>
      </c>
      <c r="B19" s="5" t="s">
        <v>163</v>
      </c>
      <c r="C19" s="9" cm="1">
        <f t="array" ref="C19:G19">EBIT_base + NetFinancialResult_base</f>
        <v>0</v>
      </c>
      <c r="D19" s="9">
        <v>0</v>
      </c>
      <c r="E19" s="9">
        <v>0</v>
      </c>
      <c r="F19" s="9">
        <v>0</v>
      </c>
      <c r="G19" s="9">
        <v>0</v>
      </c>
    </row>
    <row r="20" spans="1:7">
      <c r="A20" s="4" t="s">
        <v>164</v>
      </c>
      <c r="B20" s="5" t="s">
        <v>165</v>
      </c>
      <c r="C20" s="9" cm="1">
        <f t="array" ref="C20:G20">-PreTaxIncome_base * IN.RATE_base("tax rate")</f>
        <v>0</v>
      </c>
      <c r="D20" s="9">
        <v>0</v>
      </c>
      <c r="E20" s="9">
        <v>0</v>
      </c>
      <c r="F20" s="9">
        <v>0</v>
      </c>
      <c r="G20" s="9">
        <v>0</v>
      </c>
    </row>
    <row r="21" spans="1:7">
      <c r="A21" s="4" t="s">
        <v>166</v>
      </c>
      <c r="B21" s="5" t="s">
        <v>167</v>
      </c>
      <c r="C21" s="9" cm="1">
        <f t="array" ref="C21:G21">PreTaxIncome_base + IncomeTaxes_base</f>
        <v>0</v>
      </c>
      <c r="D21" s="9">
        <v>0</v>
      </c>
      <c r="E21" s="9">
        <v>0</v>
      </c>
      <c r="F21" s="9">
        <v>0</v>
      </c>
      <c r="G21" s="9">
        <v>0</v>
      </c>
    </row>
    <row r="24" spans="1:7">
      <c r="A24" s="3" t="s">
        <v>101</v>
      </c>
      <c r="B24" s="3" t="s">
        <v>54</v>
      </c>
      <c r="C24" s="6" cm="1">
        <f t="array" ref="C24:G24">Model!Years</f>
        <v>0</v>
      </c>
      <c r="D24" s="6">
        <v>0</v>
      </c>
      <c r="E24" s="6">
        <v>0</v>
      </c>
      <c r="F24" s="6">
        <v>0</v>
      </c>
      <c r="G24" s="6">
        <v>0</v>
      </c>
    </row>
    <row r="25" spans="1:7">
      <c r="A25" s="4" t="s">
        <v>71</v>
      </c>
      <c r="B25" s="5" t="s">
        <v>168</v>
      </c>
      <c r="C25" s="9" cm="1">
        <f t="array" ref="C25:G25">FN.SEEDROW(IN.ACTUAL("Sales"), SalesCOGS!CompanySales_payout * SalesCOGS!AvgSalesPrice_payout)</f>
        <v>0</v>
      </c>
      <c r="D25" s="9">
        <v>0</v>
      </c>
      <c r="E25" s="9">
        <v>0</v>
      </c>
      <c r="F25" s="9">
        <v>0</v>
      </c>
      <c r="G25" s="9">
        <v>0</v>
      </c>
    </row>
    <row r="26" spans="1:7">
      <c r="A26" s="4" t="s">
        <v>72</v>
      </c>
      <c r="B26" s="5" t="s">
        <v>169</v>
      </c>
      <c r="C26" s="9" cm="1">
        <f t="array" ref="C26:G26">FN.SEEDROW(IN.ACTUAL("Raw Materials"), -SalesCOGS!CompanySales_payout * SalesCOGS!RawMatUnitCost_payout)</f>
        <v>0</v>
      </c>
      <c r="D26" s="9">
        <v>0</v>
      </c>
      <c r="E26" s="9">
        <v>0</v>
      </c>
      <c r="F26" s="9">
        <v>0</v>
      </c>
      <c r="G26" s="9">
        <v>0</v>
      </c>
    </row>
    <row r="27" spans="1:7">
      <c r="A27" s="4" t="s">
        <v>73</v>
      </c>
      <c r="B27" s="5" t="s">
        <v>170</v>
      </c>
      <c r="C27" s="9" cm="1">
        <f t="array" ref="C27:G27">FN.SEEDROW(IN.ACTUAL("Direct Labor Costs"), -SalesCOGS!CompanySales_payout * SalesCOGS!DirLabUnitCost_payout)</f>
        <v>0</v>
      </c>
      <c r="D27" s="9">
        <v>0</v>
      </c>
      <c r="E27" s="9">
        <v>0</v>
      </c>
      <c r="F27" s="9">
        <v>0</v>
      </c>
      <c r="G27" s="9">
        <v>0</v>
      </c>
    </row>
    <row r="28" spans="1:7">
      <c r="A28" s="4" t="s">
        <v>145</v>
      </c>
      <c r="B28" s="5" t="s">
        <v>171</v>
      </c>
      <c r="C28" s="9" cm="1">
        <f t="array" ref="C28:G28">Sales_payout + RawMaterials_payout + DirectLaborCosts_payout</f>
        <v>0</v>
      </c>
      <c r="D28" s="9">
        <v>0</v>
      </c>
      <c r="E28" s="9">
        <v>0</v>
      </c>
      <c r="F28" s="9">
        <v>0</v>
      </c>
      <c r="G28" s="9">
        <v>0</v>
      </c>
    </row>
    <row r="29" spans="1:7">
      <c r="A29" s="4" t="s">
        <v>74</v>
      </c>
      <c r="B29" s="5" t="s">
        <v>172</v>
      </c>
      <c r="C29" s="9" cm="1">
        <f t="array" ref="C29:G29">FN.SEEDROW(IN.ACTUAL("Sales and Marketing"), -Sales_payout * IN.ASMPT_payout("sales mktg expense on sales"))</f>
        <v>0</v>
      </c>
      <c r="D29" s="9">
        <v>0</v>
      </c>
      <c r="E29" s="9">
        <v>0</v>
      </c>
      <c r="F29" s="9">
        <v>0</v>
      </c>
      <c r="G29" s="9">
        <v>0</v>
      </c>
    </row>
    <row r="30" spans="1:7">
      <c r="A30" s="4" t="s">
        <v>75</v>
      </c>
      <c r="B30" s="5" t="s">
        <v>173</v>
      </c>
      <c r="C30" s="9" cm="1">
        <f t="array" ref="C30:G30">FN.SEEDROW(IN.ACTUAL("Administrative"), -Sales_payout * IN.ASMPT_payout("admin expense on sales"))</f>
        <v>0</v>
      </c>
      <c r="D30" s="9">
        <v>0</v>
      </c>
      <c r="E30" s="9">
        <v>0</v>
      </c>
      <c r="F30" s="9">
        <v>0</v>
      </c>
      <c r="G30" s="9">
        <v>0</v>
      </c>
    </row>
    <row r="31" spans="1:7">
      <c r="A31" s="4" t="s">
        <v>149</v>
      </c>
      <c r="B31" s="5" t="s">
        <v>174</v>
      </c>
      <c r="C31" s="9" cm="1">
        <f t="array" ref="C31:G31">GrossProfit_payout + SalesAndMarketing_payout + Administrative_payout</f>
        <v>0</v>
      </c>
      <c r="D31" s="9">
        <v>0</v>
      </c>
      <c r="E31" s="9">
        <v>0</v>
      </c>
      <c r="F31" s="9">
        <v>0</v>
      </c>
      <c r="G31" s="9">
        <v>0</v>
      </c>
    </row>
    <row r="32" spans="1:7">
      <c r="A32" s="4" t="s">
        <v>76</v>
      </c>
      <c r="B32" s="5" t="s">
        <v>175</v>
      </c>
      <c r="C32" s="9" cm="1">
        <f t="array" ref="C32:G32">FN.SEEDROW(IN.ACTUAL("Depreciation"), BS!Depreciation_payout)</f>
        <v>0</v>
      </c>
      <c r="D32" s="9">
        <v>0</v>
      </c>
      <c r="E32" s="9">
        <v>0</v>
      </c>
      <c r="F32" s="9">
        <v>0</v>
      </c>
      <c r="G32" s="9">
        <v>0</v>
      </c>
    </row>
    <row r="33" spans="1:7">
      <c r="A33" s="4" t="s">
        <v>152</v>
      </c>
      <c r="B33" s="5" t="s">
        <v>176</v>
      </c>
      <c r="C33" s="9" cm="1">
        <f t="array" ref="C33:G33">EBITDA_payout + Depreciation_payout</f>
        <v>0</v>
      </c>
      <c r="D33" s="9">
        <v>0</v>
      </c>
      <c r="E33" s="9">
        <v>0</v>
      </c>
      <c r="F33" s="9">
        <v>0</v>
      </c>
      <c r="G33" s="9">
        <v>0</v>
      </c>
    </row>
    <row r="34" spans="1:7">
      <c r="A34" s="4" t="s">
        <v>154</v>
      </c>
      <c r="B34" s="5" t="s">
        <v>177</v>
      </c>
      <c r="C34" s="9" cm="1">
        <f t="array" ref="C34:G34">FN.SEEDROW(-IN.ACTUAL("Interest expenses"), -FinDebt!Interest_payout)</f>
        <v>0</v>
      </c>
      <c r="D34" s="9">
        <v>0</v>
      </c>
      <c r="E34" s="9">
        <v>0</v>
      </c>
      <c r="F34" s="9">
        <v>0</v>
      </c>
      <c r="G34" s="9">
        <v>0</v>
      </c>
    </row>
    <row r="35" spans="1:7">
      <c r="A35" s="4" t="s">
        <v>156</v>
      </c>
      <c r="B35" s="5" t="s">
        <v>178</v>
      </c>
      <c r="C35" s="9" cm="1">
        <f t="array" ref="C35:G35">FN.SEEDROW(0, IN.RATE_payout("excess cash interest rate") * 'SCF recursive'!AvgExcessCash_payout)</f>
        <v>0</v>
      </c>
      <c r="D35" s="9">
        <v>0</v>
      </c>
      <c r="E35" s="9">
        <v>0</v>
      </c>
      <c r="F35" s="9">
        <v>0</v>
      </c>
      <c r="G35" s="9">
        <v>0</v>
      </c>
    </row>
    <row r="36" spans="1:7">
      <c r="A36" s="4" t="s">
        <v>158</v>
      </c>
      <c r="B36" s="5" t="s">
        <v>179</v>
      </c>
      <c r="C36" s="9" cm="1">
        <f t="array" ref="C36:G36">FN.SEEDROW(0, -(IN.RATE_payout("overdraft interest rate") * 'SCF recursive'!AvgOverdraft_payout))</f>
        <v>0</v>
      </c>
      <c r="D36" s="9">
        <v>0</v>
      </c>
      <c r="E36" s="9">
        <v>0</v>
      </c>
      <c r="F36" s="9">
        <v>0</v>
      </c>
      <c r="G36" s="9">
        <v>0</v>
      </c>
    </row>
    <row r="37" spans="1:7">
      <c r="A37" s="4" t="s">
        <v>160</v>
      </c>
      <c r="B37" s="5" t="s">
        <v>180</v>
      </c>
      <c r="C37" s="9" cm="1">
        <f t="array" ref="C37:G37">InterestOnFinancialDebt_payout + InterestIncomeOnExcessCash_payout + InterestExpenseOnBankOverdraft_payout</f>
        <v>0</v>
      </c>
      <c r="D37" s="9">
        <v>0</v>
      </c>
      <c r="E37" s="9">
        <v>0</v>
      </c>
      <c r="F37" s="9">
        <v>0</v>
      </c>
      <c r="G37" s="9">
        <v>0</v>
      </c>
    </row>
    <row r="38" spans="1:7">
      <c r="A38" s="4" t="s">
        <v>162</v>
      </c>
      <c r="B38" s="5" t="s">
        <v>181</v>
      </c>
      <c r="C38" s="9" cm="1">
        <f t="array" ref="C38:G38">EBIT_payout + NetFinancialResult_payout</f>
        <v>0</v>
      </c>
      <c r="D38" s="9">
        <v>0</v>
      </c>
      <c r="E38" s="9">
        <v>0</v>
      </c>
      <c r="F38" s="9">
        <v>0</v>
      </c>
      <c r="G38" s="9">
        <v>0</v>
      </c>
    </row>
    <row r="39" spans="1:7">
      <c r="A39" s="4" t="s">
        <v>164</v>
      </c>
      <c r="B39" s="5" t="s">
        <v>182</v>
      </c>
      <c r="C39" s="9" cm="1">
        <f t="array" ref="C39:G39">-PreTaxIncome_payout * IN.RATE_payout("tax rate")</f>
        <v>0</v>
      </c>
      <c r="D39" s="9">
        <v>0</v>
      </c>
      <c r="E39" s="9">
        <v>0</v>
      </c>
      <c r="F39" s="9">
        <v>0</v>
      </c>
      <c r="G39" s="9">
        <v>0</v>
      </c>
    </row>
    <row r="40" spans="1:7">
      <c r="A40" s="4" t="s">
        <v>166</v>
      </c>
      <c r="B40" s="5" t="s">
        <v>183</v>
      </c>
      <c r="C40" s="9" cm="1">
        <f t="array" ref="C40:G40">PreTaxIncome_payout + IncomeTaxes_payout</f>
        <v>0</v>
      </c>
      <c r="D40" s="9">
        <v>0</v>
      </c>
      <c r="E40" s="9">
        <v>0</v>
      </c>
      <c r="F40" s="9">
        <v>0</v>
      </c>
      <c r="G40" s="9">
        <v>0</v>
      </c>
    </row>
    <row r="43" spans="1:7">
      <c r="A43" s="3" t="s">
        <v>108</v>
      </c>
      <c r="B43" s="3" t="s">
        <v>54</v>
      </c>
      <c r="C43" s="6" cm="1">
        <f t="array" ref="C43:G43">Model!Years</f>
        <v>0</v>
      </c>
      <c r="D43" s="6">
        <v>0</v>
      </c>
      <c r="E43" s="6">
        <v>0</v>
      </c>
      <c r="F43" s="6">
        <v>0</v>
      </c>
      <c r="G43" s="6">
        <v>0</v>
      </c>
    </row>
    <row r="44" spans="1:7">
      <c r="A44" s="4" t="s">
        <v>71</v>
      </c>
      <c r="B44" s="5" t="s">
        <v>184</v>
      </c>
      <c r="C44" s="9" cm="1">
        <f t="array" ref="C44:G44">FN.SEEDROW(IN.ACTUAL("Sales"), SalesCOGS!CompanySales_deleverage * SalesCOGS!AvgSalesPrice_deleverage)</f>
        <v>0</v>
      </c>
      <c r="D44" s="9">
        <v>0</v>
      </c>
      <c r="E44" s="9">
        <v>0</v>
      </c>
      <c r="F44" s="9">
        <v>0</v>
      </c>
      <c r="G44" s="9">
        <v>0</v>
      </c>
    </row>
    <row r="45" spans="1:7">
      <c r="A45" s="4" t="s">
        <v>72</v>
      </c>
      <c r="B45" s="5" t="s">
        <v>185</v>
      </c>
      <c r="C45" s="9" cm="1">
        <f t="array" ref="C45:G45">FN.SEEDROW(IN.ACTUAL("Raw Materials"), -SalesCOGS!CompanySales_deleverage * SalesCOGS!RawMatUnitCost_deleverage)</f>
        <v>0</v>
      </c>
      <c r="D45" s="9">
        <v>0</v>
      </c>
      <c r="E45" s="9">
        <v>0</v>
      </c>
      <c r="F45" s="9">
        <v>0</v>
      </c>
      <c r="G45" s="9">
        <v>0</v>
      </c>
    </row>
    <row r="46" spans="1:7">
      <c r="A46" s="4" t="s">
        <v>73</v>
      </c>
      <c r="B46" s="5" t="s">
        <v>186</v>
      </c>
      <c r="C46" s="9" cm="1">
        <f t="array" ref="C46:G46">FN.SEEDROW(IN.ACTUAL("Direct Labor Costs"), -SalesCOGS!CompanySales_deleverage * SalesCOGS!DirLabUnitCost_deleverage)</f>
        <v>0</v>
      </c>
      <c r="D46" s="9">
        <v>0</v>
      </c>
      <c r="E46" s="9">
        <v>0</v>
      </c>
      <c r="F46" s="9">
        <v>0</v>
      </c>
      <c r="G46" s="9">
        <v>0</v>
      </c>
    </row>
    <row r="47" spans="1:7">
      <c r="A47" s="4" t="s">
        <v>145</v>
      </c>
      <c r="B47" s="5" t="s">
        <v>187</v>
      </c>
      <c r="C47" s="9" cm="1">
        <f t="array" ref="C47:G47">Sales_deleverage + RawMaterials_deleverage + DirectLaborCosts_deleverage</f>
        <v>0</v>
      </c>
      <c r="D47" s="9">
        <v>0</v>
      </c>
      <c r="E47" s="9">
        <v>0</v>
      </c>
      <c r="F47" s="9">
        <v>0</v>
      </c>
      <c r="G47" s="9">
        <v>0</v>
      </c>
    </row>
    <row r="48" spans="1:7">
      <c r="A48" s="4" t="s">
        <v>74</v>
      </c>
      <c r="B48" s="5" t="s">
        <v>188</v>
      </c>
      <c r="C48" s="9" cm="1">
        <f t="array" ref="C48:G48">FN.SEEDROW(IN.ACTUAL("Sales and Marketing"), -Sales_deleverage * IN.ASMPT_deleverage("sales mktg expense on sales"))</f>
        <v>0</v>
      </c>
      <c r="D48" s="9">
        <v>0</v>
      </c>
      <c r="E48" s="9">
        <v>0</v>
      </c>
      <c r="F48" s="9">
        <v>0</v>
      </c>
      <c r="G48" s="9">
        <v>0</v>
      </c>
    </row>
    <row r="49" spans="1:7">
      <c r="A49" s="4" t="s">
        <v>75</v>
      </c>
      <c r="B49" s="5" t="s">
        <v>189</v>
      </c>
      <c r="C49" s="9" cm="1">
        <f t="array" ref="C49:G49">FN.SEEDROW(IN.ACTUAL("Administrative"), -Sales_deleverage * IN.ASMPT_deleverage("admin expense on sales"))</f>
        <v>0</v>
      </c>
      <c r="D49" s="9">
        <v>0</v>
      </c>
      <c r="E49" s="9">
        <v>0</v>
      </c>
      <c r="F49" s="9">
        <v>0</v>
      </c>
      <c r="G49" s="9">
        <v>0</v>
      </c>
    </row>
    <row r="50" spans="1:7">
      <c r="A50" s="4" t="s">
        <v>149</v>
      </c>
      <c r="B50" s="5" t="s">
        <v>190</v>
      </c>
      <c r="C50" s="9" cm="1">
        <f t="array" ref="C50:G50">GrossProfit_deleverage + SalesAndMarketing_deleverage + Administrative_deleverage</f>
        <v>0</v>
      </c>
      <c r="D50" s="9">
        <v>0</v>
      </c>
      <c r="E50" s="9">
        <v>0</v>
      </c>
      <c r="F50" s="9">
        <v>0</v>
      </c>
      <c r="G50" s="9">
        <v>0</v>
      </c>
    </row>
    <row r="51" spans="1:7">
      <c r="A51" s="4" t="s">
        <v>76</v>
      </c>
      <c r="B51" s="5" t="s">
        <v>191</v>
      </c>
      <c r="C51" s="9" cm="1">
        <f t="array" ref="C51:G51">FN.SEEDROW(IN.ACTUAL("Depreciation"), BS!Depreciation_deleverage)</f>
        <v>0</v>
      </c>
      <c r="D51" s="9">
        <v>0</v>
      </c>
      <c r="E51" s="9">
        <v>0</v>
      </c>
      <c r="F51" s="9">
        <v>0</v>
      </c>
      <c r="G51" s="9">
        <v>0</v>
      </c>
    </row>
    <row r="52" spans="1:7">
      <c r="A52" s="4" t="s">
        <v>152</v>
      </c>
      <c r="B52" s="5" t="s">
        <v>192</v>
      </c>
      <c r="C52" s="9" cm="1">
        <f t="array" ref="C52:G52">EBITDA_deleverage + Depreciation_deleverage</f>
        <v>0</v>
      </c>
      <c r="D52" s="9">
        <v>0</v>
      </c>
      <c r="E52" s="9">
        <v>0</v>
      </c>
      <c r="F52" s="9">
        <v>0</v>
      </c>
      <c r="G52" s="9">
        <v>0</v>
      </c>
    </row>
    <row r="53" spans="1:7">
      <c r="A53" s="4" t="s">
        <v>154</v>
      </c>
      <c r="B53" s="5" t="s">
        <v>193</v>
      </c>
      <c r="C53" s="9" cm="1">
        <f t="array" ref="C53:G53">FN.SEEDROW(-IN.ACTUAL("Interest expenses"), -FinDebt!Interest_deleverage)</f>
        <v>0</v>
      </c>
      <c r="D53" s="9">
        <v>0</v>
      </c>
      <c r="E53" s="9">
        <v>0</v>
      </c>
      <c r="F53" s="9">
        <v>0</v>
      </c>
      <c r="G53" s="9">
        <v>0</v>
      </c>
    </row>
    <row r="54" spans="1:7">
      <c r="A54" s="4" t="s">
        <v>156</v>
      </c>
      <c r="B54" s="5" t="s">
        <v>194</v>
      </c>
      <c r="C54" s="9" cm="1">
        <f t="array" ref="C54:G54">FN.SEEDROW(0, IN.RATE_deleverage("excess cash interest rate") * 'SCF recursive'!AvgExcessCash_deleverage)</f>
        <v>0</v>
      </c>
      <c r="D54" s="9">
        <v>0</v>
      </c>
      <c r="E54" s="9">
        <v>0</v>
      </c>
      <c r="F54" s="9">
        <v>0</v>
      </c>
      <c r="G54" s="9">
        <v>0</v>
      </c>
    </row>
    <row r="55" spans="1:7">
      <c r="A55" s="4" t="s">
        <v>158</v>
      </c>
      <c r="B55" s="5" t="s">
        <v>195</v>
      </c>
      <c r="C55" s="9" cm="1">
        <f t="array" ref="C55:G55">FN.SEEDROW(0, -(IN.RATE_deleverage("overdraft interest rate") * 'SCF recursive'!AvgOverdraft_deleverage))</f>
        <v>0</v>
      </c>
      <c r="D55" s="9">
        <v>0</v>
      </c>
      <c r="E55" s="9">
        <v>0</v>
      </c>
      <c r="F55" s="9">
        <v>0</v>
      </c>
      <c r="G55" s="9">
        <v>0</v>
      </c>
    </row>
    <row r="56" spans="1:7">
      <c r="A56" s="4" t="s">
        <v>160</v>
      </c>
      <c r="B56" s="5" t="s">
        <v>196</v>
      </c>
      <c r="C56" s="9" cm="1">
        <f t="array" ref="C56:G56">InterestOnFinancialDebt_deleverage + InterestIncomeOnExcessCash_deleverage + InterestExpenseOnBankOverdraft_deleverage</f>
        <v>0</v>
      </c>
      <c r="D56" s="9">
        <v>0</v>
      </c>
      <c r="E56" s="9">
        <v>0</v>
      </c>
      <c r="F56" s="9">
        <v>0</v>
      </c>
      <c r="G56" s="9">
        <v>0</v>
      </c>
    </row>
    <row r="57" spans="1:7">
      <c r="A57" s="4" t="s">
        <v>162</v>
      </c>
      <c r="B57" s="5" t="s">
        <v>197</v>
      </c>
      <c r="C57" s="9" cm="1">
        <f t="array" ref="C57:G57">EBIT_deleverage + NetFinancialResult_deleverage</f>
        <v>0</v>
      </c>
      <c r="D57" s="9">
        <v>0</v>
      </c>
      <c r="E57" s="9">
        <v>0</v>
      </c>
      <c r="F57" s="9">
        <v>0</v>
      </c>
      <c r="G57" s="9">
        <v>0</v>
      </c>
    </row>
    <row r="58" spans="1:7">
      <c r="A58" s="4" t="s">
        <v>164</v>
      </c>
      <c r="B58" s="5" t="s">
        <v>198</v>
      </c>
      <c r="C58" s="9" cm="1">
        <f t="array" ref="C58:G58">-PreTaxIncome_deleverage * IN.RATE_deleverage("tax rate")</f>
        <v>0</v>
      </c>
      <c r="D58" s="9">
        <v>0</v>
      </c>
      <c r="E58" s="9">
        <v>0</v>
      </c>
      <c r="F58" s="9">
        <v>0</v>
      </c>
      <c r="G58" s="9">
        <v>0</v>
      </c>
    </row>
    <row r="59" spans="1:7">
      <c r="A59" s="4" t="s">
        <v>166</v>
      </c>
      <c r="B59" s="5" t="s">
        <v>199</v>
      </c>
      <c r="C59" s="9" cm="1">
        <f t="array" ref="C59:G59">PreTaxIncome_deleverage + IncomeTaxes_deleverage</f>
        <v>0</v>
      </c>
      <c r="D59" s="9">
        <v>0</v>
      </c>
      <c r="E59" s="9">
        <v>0</v>
      </c>
      <c r="F59" s="9">
        <v>0</v>
      </c>
      <c r="G59" s="9">
        <v>0</v>
      </c>
    </row>
    <row r="63" spans="1:7">
      <c r="A63" s="3" t="s">
        <v>115</v>
      </c>
    </row>
    <row r="64" spans="1:7">
      <c r="A64" s="7" t="s">
        <v>200</v>
      </c>
      <c r="B64" s="5" t="s">
        <v>142</v>
      </c>
    </row>
    <row r="65" spans="1:2">
      <c r="A65" s="7" t="s">
        <v>201</v>
      </c>
      <c r="B65" s="5" t="s">
        <v>142</v>
      </c>
    </row>
    <row r="66" spans="1:2">
      <c r="A66" s="7" t="s">
        <v>202</v>
      </c>
      <c r="B66" s="5" t="s">
        <v>143</v>
      </c>
    </row>
    <row r="67" spans="1:2">
      <c r="A67" s="7" t="s">
        <v>203</v>
      </c>
      <c r="B67" s="5" t="s">
        <v>143</v>
      </c>
    </row>
    <row r="68" spans="1:2">
      <c r="A68" s="7" t="s">
        <v>204</v>
      </c>
      <c r="B68" s="5" t="s">
        <v>144</v>
      </c>
    </row>
    <row r="69" spans="1:2">
      <c r="A69" s="7" t="s">
        <v>205</v>
      </c>
      <c r="B69" s="5" t="s">
        <v>144</v>
      </c>
    </row>
    <row r="70" spans="1:2">
      <c r="A70" s="7" t="s">
        <v>206</v>
      </c>
      <c r="B70" s="5" t="s">
        <v>146</v>
      </c>
    </row>
    <row r="71" spans="1:2">
      <c r="A71" s="7" t="s">
        <v>207</v>
      </c>
      <c r="B71" s="5" t="s">
        <v>147</v>
      </c>
    </row>
    <row r="72" spans="1:2">
      <c r="A72" s="7" t="s">
        <v>208</v>
      </c>
      <c r="B72" s="5" t="s">
        <v>147</v>
      </c>
    </row>
    <row r="73" spans="1:2">
      <c r="A73" s="7" t="s">
        <v>209</v>
      </c>
      <c r="B73" s="5" t="s">
        <v>148</v>
      </c>
    </row>
    <row r="74" spans="1:2">
      <c r="A74" s="7" t="s">
        <v>210</v>
      </c>
      <c r="B74" s="5" t="s">
        <v>148</v>
      </c>
    </row>
    <row r="75" spans="1:2">
      <c r="A75" s="7" t="s">
        <v>211</v>
      </c>
      <c r="B75" s="5" t="s">
        <v>150</v>
      </c>
    </row>
    <row r="76" spans="1:2">
      <c r="A76" s="7" t="s">
        <v>212</v>
      </c>
      <c r="B76" s="5" t="s">
        <v>151</v>
      </c>
    </row>
    <row r="77" spans="1:2">
      <c r="A77" s="7" t="s">
        <v>213</v>
      </c>
      <c r="B77" s="5" t="s">
        <v>151</v>
      </c>
    </row>
    <row r="78" spans="1:2">
      <c r="A78" s="7" t="s">
        <v>214</v>
      </c>
      <c r="B78" s="5" t="s">
        <v>153</v>
      </c>
    </row>
    <row r="79" spans="1:2">
      <c r="A79" s="7" t="s">
        <v>215</v>
      </c>
      <c r="B79" s="5" t="s">
        <v>155</v>
      </c>
    </row>
    <row r="80" spans="1:2">
      <c r="A80" s="7" t="s">
        <v>216</v>
      </c>
      <c r="B80" s="5" t="s">
        <v>155</v>
      </c>
    </row>
    <row r="81" spans="1:2">
      <c r="A81" s="7" t="s">
        <v>217</v>
      </c>
      <c r="B81" s="5" t="s">
        <v>157</v>
      </c>
    </row>
    <row r="82" spans="1:2">
      <c r="A82" s="7" t="s">
        <v>218</v>
      </c>
      <c r="B82" s="5" t="s">
        <v>159</v>
      </c>
    </row>
    <row r="83" spans="1:2">
      <c r="A83" s="7" t="s">
        <v>219</v>
      </c>
      <c r="B83" s="5" t="s">
        <v>161</v>
      </c>
    </row>
    <row r="84" spans="1:2">
      <c r="A84" s="7" t="s">
        <v>220</v>
      </c>
      <c r="B84" s="5" t="s">
        <v>163</v>
      </c>
    </row>
    <row r="85" spans="1:2">
      <c r="A85" s="7" t="s">
        <v>221</v>
      </c>
      <c r="B85" s="5" t="s">
        <v>165</v>
      </c>
    </row>
    <row r="86" spans="1:2">
      <c r="A86" s="7" t="s">
        <v>222</v>
      </c>
      <c r="B86" s="5" t="s">
        <v>167</v>
      </c>
    </row>
    <row r="88" spans="1:2">
      <c r="A88" s="2" t="s">
        <v>223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49"/>
  <sheetViews>
    <sheetView workbookViewId="0"/>
  </sheetViews>
  <sheetFormatPr defaultRowHeight="15"/>
  <cols>
    <col min="1" max="1" width="34.7109375" customWidth="1"/>
    <col min="2" max="2" width="38.7109375" customWidth="1"/>
    <col min="3" max="7" width="15.7109375" customWidth="1"/>
  </cols>
  <sheetData>
    <row r="1" spans="1:7">
      <c r="A1" s="1" t="s">
        <v>224</v>
      </c>
    </row>
    <row r="2" spans="1:7">
      <c r="A2" s="2" t="s">
        <v>225</v>
      </c>
    </row>
    <row r="3" spans="1:7">
      <c r="A3" s="2" t="s">
        <v>97</v>
      </c>
    </row>
    <row r="5" spans="1:7">
      <c r="A5" s="3" t="s">
        <v>98</v>
      </c>
      <c r="B5" s="3" t="s">
        <v>54</v>
      </c>
      <c r="C5" s="6" cm="1">
        <f t="array" ref="C5:G5">Model!Years</f>
        <v>0</v>
      </c>
      <c r="D5" s="6">
        <v>0</v>
      </c>
      <c r="E5" s="6">
        <v>0</v>
      </c>
      <c r="F5" s="6">
        <v>0</v>
      </c>
      <c r="G5" s="6">
        <v>0</v>
      </c>
    </row>
    <row r="6" spans="1:7">
      <c r="A6" s="4" t="s">
        <v>226</v>
      </c>
      <c r="B6" s="5" t="s">
        <v>227</v>
      </c>
      <c r="C6" s="9" cm="1">
        <f t="array" ref="C6:G6">IN.ASMPT_base("AR days") * IS!Sales_base / 365</f>
        <v>0</v>
      </c>
      <c r="D6" s="9">
        <v>0</v>
      </c>
      <c r="E6" s="9">
        <v>0</v>
      </c>
      <c r="F6" s="9">
        <v>0</v>
      </c>
      <c r="G6" s="9">
        <v>0</v>
      </c>
    </row>
    <row r="7" spans="1:7">
      <c r="A7" s="4" t="s">
        <v>228</v>
      </c>
      <c r="B7" s="5" t="s">
        <v>143</v>
      </c>
      <c r="C7" s="9" cm="1">
        <f t="array" ref="C7:G7">-IN.ASMPT_base("raw materials days") * IS!RawMaterials_base / 365</f>
        <v>0</v>
      </c>
      <c r="D7" s="9">
        <v>0</v>
      </c>
      <c r="E7" s="9">
        <v>0</v>
      </c>
      <c r="F7" s="9">
        <v>0</v>
      </c>
      <c r="G7" s="9">
        <v>0</v>
      </c>
    </row>
    <row r="8" spans="1:7">
      <c r="A8" s="4" t="s">
        <v>229</v>
      </c>
      <c r="B8" s="5" t="s">
        <v>230</v>
      </c>
      <c r="C8" s="9" cm="1">
        <f t="array" ref="C8:G8">-IN.ASMPT_base("finished goods days") * (IS!RawMaterials_base + IS!DirectLaborCosts_base) / 365</f>
        <v>0</v>
      </c>
      <c r="D8" s="9">
        <v>0</v>
      </c>
      <c r="E8" s="9">
        <v>0</v>
      </c>
      <c r="F8" s="9">
        <v>0</v>
      </c>
      <c r="G8" s="9">
        <v>0</v>
      </c>
    </row>
    <row r="9" spans="1:7">
      <c r="A9" s="4" t="s">
        <v>231</v>
      </c>
      <c r="B9" s="5" t="s">
        <v>232</v>
      </c>
      <c r="C9" s="9" cm="1">
        <f t="array" ref="C9:G9">IN.ASMPT_base("wages payable days") * (IS!DirectLaborCosts_base + IS!Administrative_base) / 365</f>
        <v>0</v>
      </c>
      <c r="D9" s="9">
        <v>0</v>
      </c>
      <c r="E9" s="9">
        <v>0</v>
      </c>
      <c r="F9" s="9">
        <v>0</v>
      </c>
      <c r="G9" s="9">
        <v>0</v>
      </c>
    </row>
    <row r="10" spans="1:7">
      <c r="A10" s="4" t="s">
        <v>233</v>
      </c>
      <c r="B10" s="5" t="s">
        <v>234</v>
      </c>
      <c r="C10" s="9" cm="1">
        <f t="array" ref="C10:G10">IN.ASMPT_base("other AP days") * (IS!RawMaterials_base + IS!SalesAndMarketing_base) / 365</f>
        <v>0</v>
      </c>
      <c r="D10" s="9">
        <v>0</v>
      </c>
      <c r="E10" s="9">
        <v>0</v>
      </c>
      <c r="F10" s="9">
        <v>0</v>
      </c>
      <c r="G10" s="9">
        <v>0</v>
      </c>
    </row>
    <row r="11" spans="1:7">
      <c r="A11" s="4" t="s">
        <v>235</v>
      </c>
      <c r="B11" s="5" t="s">
        <v>236</v>
      </c>
      <c r="C11" s="9" cm="1">
        <f t="array" ref="C11:G11">IN.ASMPT_base("operating cash days") * IS!Sales_base / 365</f>
        <v>0</v>
      </c>
      <c r="D11" s="9">
        <v>0</v>
      </c>
      <c r="E11" s="9">
        <v>0</v>
      </c>
      <c r="F11" s="9">
        <v>0</v>
      </c>
      <c r="G11" s="9">
        <v>0</v>
      </c>
    </row>
    <row r="12" spans="1:7">
      <c r="A12" s="4" t="s">
        <v>237</v>
      </c>
      <c r="B12" s="5" t="s">
        <v>238</v>
      </c>
      <c r="C12" s="9" cm="1">
        <f t="array" ref="C12:G12">AccountsReceivable_base + RawMaterials_base + FinishedGoods_base + WagesPayable_base + OtherAccountsPayable_base + MinimumOperatingCash_base</f>
        <v>0</v>
      </c>
      <c r="D12" s="9">
        <v>0</v>
      </c>
      <c r="E12" s="9">
        <v>0</v>
      </c>
      <c r="F12" s="9">
        <v>0</v>
      </c>
      <c r="G12" s="9">
        <v>0</v>
      </c>
    </row>
    <row r="13" spans="1:7">
      <c r="A13" s="4" t="s">
        <v>239</v>
      </c>
      <c r="B13" s="5" t="s">
        <v>240</v>
      </c>
      <c r="C13" s="9" cm="1">
        <f t="array" ref="C13:G13">FN.SEEDROW(0, IN.ASMPT_base("capex pct of sales change") * (IS!Sales_base - FN.PREV(IS!Sales_base)))</f>
        <v>0</v>
      </c>
      <c r="D13" s="9">
        <v>0</v>
      </c>
      <c r="E13" s="9">
        <v>0</v>
      </c>
      <c r="F13" s="9">
        <v>0</v>
      </c>
      <c r="G13" s="9">
        <v>0</v>
      </c>
    </row>
    <row r="14" spans="1:7">
      <c r="A14" s="4" t="s">
        <v>76</v>
      </c>
      <c r="B14" s="5" t="s">
        <v>151</v>
      </c>
      <c r="C14" s="9" cm="1">
        <f t="array" ref="C14:G15">_xlfn.LET(_xlpm.dep_rate, IN.ASMPT_base("avg depreciation on NFA"), _xlpm.capex, CapitalExpenditures_base, _xlpm.nfa, FN.SEEDREC( IN.ASMPT_base("initial net fixed assets"), _xlpm.capex, _xlfn.LAMBDA(_xlpm.prev, _xlpm.c, (_xlpm.prev + _xlpm.c) * (1 - _xlpm.dep_rate))), _xlfn.VSTACK( FN.SEEDROW(0, -_xlpm.dep_rate * (FN.PREV(_xlpm.nfa) + _xlpm.capex)), _xlpm.nfa))</f>
        <v>0</v>
      </c>
      <c r="D14" s="9">
        <v>0</v>
      </c>
      <c r="E14" s="9">
        <v>0</v>
      </c>
      <c r="F14" s="9">
        <v>0</v>
      </c>
      <c r="G14" s="9">
        <v>0</v>
      </c>
    </row>
    <row r="15" spans="1:7">
      <c r="A15" s="4" t="s">
        <v>241</v>
      </c>
      <c r="B15" s="5" t="s">
        <v>242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>
      <c r="A16" s="4" t="s">
        <v>243</v>
      </c>
      <c r="B16" s="5" t="s">
        <v>244</v>
      </c>
      <c r="C16" s="9" cm="1">
        <f t="array" ref="C16:G16">NetWorkingCapital_base + NetFixedAssets_base</f>
        <v>0</v>
      </c>
      <c r="D16" s="9">
        <v>0</v>
      </c>
      <c r="E16" s="9">
        <v>0</v>
      </c>
      <c r="F16" s="9">
        <v>0</v>
      </c>
      <c r="G16" s="9">
        <v>0</v>
      </c>
    </row>
    <row r="17" spans="1:7">
      <c r="A17" s="4" t="s">
        <v>245</v>
      </c>
      <c r="B17" s="5" t="s">
        <v>246</v>
      </c>
      <c r="C17" s="9" cm="1">
        <f t="array" ref="C17:G17">FN.SPREAD(INDEX((FinancialDebt_base + BankOverdraft_base + StockholdersEquity_base) - (TotalNetOperatingAssets_base + ExcessCash_base), 1, 1), Model!Periods)</f>
        <v>0</v>
      </c>
      <c r="D17" s="9">
        <v>0</v>
      </c>
      <c r="E17" s="9">
        <v>0</v>
      </c>
      <c r="F17" s="9">
        <v>0</v>
      </c>
      <c r="G17" s="9">
        <v>0</v>
      </c>
    </row>
    <row r="18" spans="1:7">
      <c r="A18" s="4" t="s">
        <v>247</v>
      </c>
      <c r="B18" s="5" t="s">
        <v>248</v>
      </c>
      <c r="C18" s="9" cm="1">
        <f t="array" ref="C18:G18">'SCF recursive'!ExcessCash_base</f>
        <v>0</v>
      </c>
      <c r="D18" s="9">
        <v>0</v>
      </c>
      <c r="E18" s="9">
        <v>0</v>
      </c>
      <c r="F18" s="9">
        <v>0</v>
      </c>
      <c r="G18" s="9">
        <v>0</v>
      </c>
    </row>
    <row r="19" spans="1:7">
      <c r="A19" s="4" t="s">
        <v>249</v>
      </c>
      <c r="B19" s="5" t="s">
        <v>250</v>
      </c>
      <c r="C19" s="9" cm="1">
        <f t="array" ref="C19:G19">TotalNetOperatingAssets_base + Goodwill_base + ExcessCash_base</f>
        <v>0</v>
      </c>
      <c r="D19" s="9">
        <v>0</v>
      </c>
      <c r="E19" s="9">
        <v>0</v>
      </c>
      <c r="F19" s="9">
        <v>0</v>
      </c>
      <c r="G19" s="9">
        <v>0</v>
      </c>
    </row>
    <row r="20" spans="1:7">
      <c r="A20" s="4" t="s">
        <v>251</v>
      </c>
      <c r="B20" s="5" t="s">
        <v>252</v>
      </c>
      <c r="C20" s="9" cm="1">
        <f t="array" ref="C20:G20">FinDebt!OutstandingDebt_base</f>
        <v>0</v>
      </c>
      <c r="D20" s="9">
        <v>0</v>
      </c>
      <c r="E20" s="9">
        <v>0</v>
      </c>
      <c r="F20" s="9">
        <v>0</v>
      </c>
      <c r="G20" s="9">
        <v>0</v>
      </c>
    </row>
    <row r="21" spans="1:7">
      <c r="A21" s="4" t="s">
        <v>253</v>
      </c>
      <c r="B21" s="5" t="s">
        <v>254</v>
      </c>
      <c r="C21" s="9" cm="1">
        <f t="array" ref="C21:G21">'SCF recursive'!BankOverdraft_base</f>
        <v>0</v>
      </c>
      <c r="D21" s="9">
        <v>0</v>
      </c>
      <c r="E21" s="9">
        <v>0</v>
      </c>
      <c r="F21" s="9">
        <v>0</v>
      </c>
      <c r="G21" s="9">
        <v>0</v>
      </c>
    </row>
    <row r="22" spans="1:7">
      <c r="A22" s="4" t="s">
        <v>255</v>
      </c>
      <c r="B22" s="5" t="s">
        <v>167</v>
      </c>
      <c r="C22" s="9" cm="1">
        <f t="array" ref="C22:G22">IS!NetIncome_base</f>
        <v>0</v>
      </c>
      <c r="D22" s="9">
        <v>0</v>
      </c>
      <c r="E22" s="9">
        <v>0</v>
      </c>
      <c r="F22" s="9">
        <v>0</v>
      </c>
      <c r="G22" s="9">
        <v>0</v>
      </c>
    </row>
    <row r="23" spans="1:7">
      <c r="A23" s="4" t="s">
        <v>256</v>
      </c>
      <c r="B23" s="5" t="s">
        <v>257</v>
      </c>
      <c r="C23" s="9" cm="1">
        <f t="array" ref="C23:G23">'SCF recursive'!Dividends_base</f>
        <v>0</v>
      </c>
      <c r="D23" s="9">
        <v>0</v>
      </c>
      <c r="E23" s="9">
        <v>0</v>
      </c>
      <c r="F23" s="9">
        <v>0</v>
      </c>
      <c r="G23" s="9">
        <v>0</v>
      </c>
    </row>
    <row r="24" spans="1:7">
      <c r="A24" s="4" t="s">
        <v>258</v>
      </c>
      <c r="B24" s="5" t="s">
        <v>259</v>
      </c>
      <c r="C24" s="9" cm="1">
        <f t="array" ref="C24:G24">FN.SEEDROW(IN.ASMPT_base("equity purchase price") - INDEX(FinancialDebt_base, 1, 1), 'SCF recursive'!SaleOrPurchaseOfStock_base)</f>
        <v>0</v>
      </c>
      <c r="D24" s="9">
        <v>0</v>
      </c>
      <c r="E24" s="9">
        <v>0</v>
      </c>
      <c r="F24" s="9">
        <v>0</v>
      </c>
      <c r="G24" s="9">
        <v>0</v>
      </c>
    </row>
    <row r="25" spans="1:7">
      <c r="A25" s="4" t="s">
        <v>260</v>
      </c>
      <c r="B25" s="5" t="s">
        <v>261</v>
      </c>
      <c r="C25" s="9" cm="1">
        <f t="array" ref="C25:G25">FN.SEEDREC(INDEX(SaleOrPurchaseOfStock_base, 1, 1), NetIncome_base + Dividends_base + SaleOrPurchaseOfStock_base, _xlfn.LAMBDA(_xlpm.prev, _xlpm.d, _xlpm.prev + _xlpm.d))</f>
        <v>0</v>
      </c>
      <c r="D25" s="9">
        <v>0</v>
      </c>
      <c r="E25" s="9">
        <v>0</v>
      </c>
      <c r="F25" s="9">
        <v>0</v>
      </c>
      <c r="G25" s="9">
        <v>0</v>
      </c>
    </row>
    <row r="26" spans="1:7">
      <c r="A26" s="4" t="s">
        <v>262</v>
      </c>
      <c r="B26" s="5" t="s">
        <v>263</v>
      </c>
      <c r="C26" s="9" cm="1">
        <f t="array" ref="C26:G26">FinancialDebt_base + BankOverdraft_base + StockholdersEquity_base</f>
        <v>0</v>
      </c>
      <c r="D26" s="9">
        <v>0</v>
      </c>
      <c r="E26" s="9">
        <v>0</v>
      </c>
      <c r="F26" s="9">
        <v>0</v>
      </c>
      <c r="G26" s="9">
        <v>0</v>
      </c>
    </row>
    <row r="27" spans="1:7">
      <c r="A27" s="4" t="s">
        <v>264</v>
      </c>
      <c r="B27" s="5" t="s">
        <v>265</v>
      </c>
      <c r="C27" s="8" cm="1">
        <f t="array" ref="C27:G27">TotalAssets_base - TotalLiabilitiesAndEquity_base</f>
        <v>0</v>
      </c>
      <c r="D27" s="8">
        <v>0</v>
      </c>
      <c r="E27" s="8">
        <v>0</v>
      </c>
      <c r="F27" s="8">
        <v>0</v>
      </c>
      <c r="G27" s="8">
        <v>0</v>
      </c>
    </row>
    <row r="30" spans="1:7">
      <c r="A30" s="2" t="s">
        <v>266</v>
      </c>
    </row>
    <row r="31" spans="1:7">
      <c r="A31" s="3" t="s">
        <v>267</v>
      </c>
      <c r="B31" s="3" t="s">
        <v>54</v>
      </c>
      <c r="C31" s="6" cm="1">
        <f t="array" ref="C31:G31">Model!Years</f>
        <v>0</v>
      </c>
      <c r="D31" s="6">
        <v>0</v>
      </c>
      <c r="E31" s="6">
        <v>0</v>
      </c>
      <c r="F31" s="6">
        <v>0</v>
      </c>
      <c r="G31" s="6">
        <v>0</v>
      </c>
    </row>
    <row r="32" spans="1:7">
      <c r="A32" s="4" t="s">
        <v>237</v>
      </c>
      <c r="B32" s="5" t="s">
        <v>268</v>
      </c>
      <c r="C32" s="9" cm="1">
        <f t="array" ref="C32:G32">FN.DELTA(NetWorkingCapital_base)</f>
        <v>0</v>
      </c>
      <c r="D32" s="9">
        <v>0</v>
      </c>
      <c r="E32" s="9">
        <v>0</v>
      </c>
      <c r="F32" s="9">
        <v>0</v>
      </c>
      <c r="G32" s="9">
        <v>0</v>
      </c>
    </row>
    <row r="33" spans="1:7">
      <c r="A33" s="4" t="s">
        <v>251</v>
      </c>
      <c r="B33" s="5" t="s">
        <v>269</v>
      </c>
      <c r="C33" s="9" cm="1">
        <f t="array" ref="C33:G33">FN.DELTA(FinancialDebt_base)</f>
        <v>0</v>
      </c>
      <c r="D33" s="9">
        <v>0</v>
      </c>
      <c r="E33" s="9">
        <v>0</v>
      </c>
      <c r="F33" s="9">
        <v>0</v>
      </c>
      <c r="G33" s="9">
        <v>0</v>
      </c>
    </row>
    <row r="34" spans="1:7">
      <c r="A34" s="4" t="s">
        <v>241</v>
      </c>
      <c r="B34" s="5" t="s">
        <v>270</v>
      </c>
      <c r="C34" s="9" cm="1">
        <f t="array" ref="C34:G34">FN.DELTA(NetFixedAssets_base)</f>
        <v>0</v>
      </c>
      <c r="D34" s="9">
        <v>0</v>
      </c>
      <c r="E34" s="9">
        <v>0</v>
      </c>
      <c r="F34" s="9">
        <v>0</v>
      </c>
      <c r="G34" s="9">
        <v>0</v>
      </c>
    </row>
    <row r="35" spans="1:7">
      <c r="A35" s="4" t="s">
        <v>235</v>
      </c>
      <c r="B35" s="5" t="s">
        <v>271</v>
      </c>
      <c r="C35" s="9" cm="1">
        <f t="array" ref="C35:G35">FN.DELTA(MinimumOperatingCash_base)</f>
        <v>0</v>
      </c>
      <c r="D35" s="9">
        <v>0</v>
      </c>
      <c r="E35" s="9">
        <v>0</v>
      </c>
      <c r="F35" s="9">
        <v>0</v>
      </c>
      <c r="G35" s="9">
        <v>0</v>
      </c>
    </row>
    <row r="36" spans="1:7">
      <c r="A36" s="4" t="s">
        <v>226</v>
      </c>
      <c r="B36" s="5" t="s">
        <v>272</v>
      </c>
      <c r="C36" s="9" cm="1">
        <f t="array" ref="C36:G36">FN.DELTA(AccountsReceivable_base)</f>
        <v>0</v>
      </c>
      <c r="D36" s="9">
        <v>0</v>
      </c>
      <c r="E36" s="9">
        <v>0</v>
      </c>
      <c r="F36" s="9">
        <v>0</v>
      </c>
      <c r="G36" s="9">
        <v>0</v>
      </c>
    </row>
    <row r="37" spans="1:7">
      <c r="A37" s="4" t="s">
        <v>228</v>
      </c>
      <c r="B37" s="5" t="s">
        <v>273</v>
      </c>
      <c r="C37" s="9" cm="1">
        <f t="array" ref="C37:G37">FN.DELTA(RawMaterials_base)</f>
        <v>0</v>
      </c>
      <c r="D37" s="9">
        <v>0</v>
      </c>
      <c r="E37" s="9">
        <v>0</v>
      </c>
      <c r="F37" s="9">
        <v>0</v>
      </c>
      <c r="G37" s="9">
        <v>0</v>
      </c>
    </row>
    <row r="38" spans="1:7">
      <c r="A38" s="4" t="s">
        <v>229</v>
      </c>
      <c r="B38" s="5" t="s">
        <v>274</v>
      </c>
      <c r="C38" s="9" cm="1">
        <f t="array" ref="C38:G38">FN.DELTA(FinishedGoods_base)</f>
        <v>0</v>
      </c>
      <c r="D38" s="9">
        <v>0</v>
      </c>
      <c r="E38" s="9">
        <v>0</v>
      </c>
      <c r="F38" s="9">
        <v>0</v>
      </c>
      <c r="G38" s="9">
        <v>0</v>
      </c>
    </row>
    <row r="39" spans="1:7">
      <c r="A39" s="4" t="s">
        <v>233</v>
      </c>
      <c r="B39" s="5" t="s">
        <v>275</v>
      </c>
      <c r="C39" s="9" cm="1">
        <f t="array" ref="C39:G39">FN.DELTA(OtherAccountsPayable_base)</f>
        <v>0</v>
      </c>
      <c r="D39" s="9">
        <v>0</v>
      </c>
      <c r="E39" s="9">
        <v>0</v>
      </c>
      <c r="F39" s="9">
        <v>0</v>
      </c>
      <c r="G39" s="9">
        <v>0</v>
      </c>
    </row>
    <row r="40" spans="1:7">
      <c r="A40" s="4" t="s">
        <v>231</v>
      </c>
      <c r="B40" s="5" t="s">
        <v>276</v>
      </c>
      <c r="C40" s="9" cm="1">
        <f t="array" ref="C40:G40">FN.DELTA(WagesPayable_base)</f>
        <v>0</v>
      </c>
      <c r="D40" s="9">
        <v>0</v>
      </c>
      <c r="E40" s="9">
        <v>0</v>
      </c>
      <c r="F40" s="9">
        <v>0</v>
      </c>
      <c r="G40" s="9">
        <v>0</v>
      </c>
    </row>
    <row r="43" spans="1:7">
      <c r="A43" s="3" t="s">
        <v>101</v>
      </c>
      <c r="B43" s="3" t="s">
        <v>54</v>
      </c>
      <c r="C43" s="6" cm="1">
        <f t="array" ref="C43:G43">Model!Years</f>
        <v>0</v>
      </c>
      <c r="D43" s="6">
        <v>0</v>
      </c>
      <c r="E43" s="6">
        <v>0</v>
      </c>
      <c r="F43" s="6">
        <v>0</v>
      </c>
      <c r="G43" s="6">
        <v>0</v>
      </c>
    </row>
    <row r="44" spans="1:7">
      <c r="A44" s="4" t="s">
        <v>226</v>
      </c>
      <c r="B44" s="5" t="s">
        <v>277</v>
      </c>
      <c r="C44" s="9" cm="1">
        <f t="array" ref="C44:G44">IN.ASMPT_payout("AR days") * IS!Sales_payout / 365</f>
        <v>0</v>
      </c>
      <c r="D44" s="9">
        <v>0</v>
      </c>
      <c r="E44" s="9">
        <v>0</v>
      </c>
      <c r="F44" s="9">
        <v>0</v>
      </c>
      <c r="G44" s="9">
        <v>0</v>
      </c>
    </row>
    <row r="45" spans="1:7">
      <c r="A45" s="4" t="s">
        <v>228</v>
      </c>
      <c r="B45" s="5" t="s">
        <v>169</v>
      </c>
      <c r="C45" s="9" cm="1">
        <f t="array" ref="C45:G45">-IN.ASMPT_payout("raw materials days") * IS!RawMaterials_payout / 365</f>
        <v>0</v>
      </c>
      <c r="D45" s="9">
        <v>0</v>
      </c>
      <c r="E45" s="9">
        <v>0</v>
      </c>
      <c r="F45" s="9">
        <v>0</v>
      </c>
      <c r="G45" s="9">
        <v>0</v>
      </c>
    </row>
    <row r="46" spans="1:7">
      <c r="A46" s="4" t="s">
        <v>229</v>
      </c>
      <c r="B46" s="5" t="s">
        <v>278</v>
      </c>
      <c r="C46" s="9" cm="1">
        <f t="array" ref="C46:G46">-IN.ASMPT_payout("finished goods days") * (IS!RawMaterials_payout + IS!DirectLaborCosts_payout) / 365</f>
        <v>0</v>
      </c>
      <c r="D46" s="9">
        <v>0</v>
      </c>
      <c r="E46" s="9">
        <v>0</v>
      </c>
      <c r="F46" s="9">
        <v>0</v>
      </c>
      <c r="G46" s="9">
        <v>0</v>
      </c>
    </row>
    <row r="47" spans="1:7">
      <c r="A47" s="4" t="s">
        <v>231</v>
      </c>
      <c r="B47" s="5" t="s">
        <v>279</v>
      </c>
      <c r="C47" s="9" cm="1">
        <f t="array" ref="C47:G47">IN.ASMPT_payout("wages payable days") * (IS!DirectLaborCosts_payout + IS!Administrative_payout) / 365</f>
        <v>0</v>
      </c>
      <c r="D47" s="9">
        <v>0</v>
      </c>
      <c r="E47" s="9">
        <v>0</v>
      </c>
      <c r="F47" s="9">
        <v>0</v>
      </c>
      <c r="G47" s="9">
        <v>0</v>
      </c>
    </row>
    <row r="48" spans="1:7">
      <c r="A48" s="4" t="s">
        <v>233</v>
      </c>
      <c r="B48" s="5" t="s">
        <v>280</v>
      </c>
      <c r="C48" s="9" cm="1">
        <f t="array" ref="C48:G48">IN.ASMPT_payout("other AP days") * (IS!RawMaterials_payout + IS!SalesAndMarketing_payout) / 365</f>
        <v>0</v>
      </c>
      <c r="D48" s="9">
        <v>0</v>
      </c>
      <c r="E48" s="9">
        <v>0</v>
      </c>
      <c r="F48" s="9">
        <v>0</v>
      </c>
      <c r="G48" s="9">
        <v>0</v>
      </c>
    </row>
    <row r="49" spans="1:7">
      <c r="A49" s="4" t="s">
        <v>235</v>
      </c>
      <c r="B49" s="5" t="s">
        <v>281</v>
      </c>
      <c r="C49" s="9" cm="1">
        <f t="array" ref="C49:G49">IN.ASMPT_payout("operating cash days") * IS!Sales_payout / 365</f>
        <v>0</v>
      </c>
      <c r="D49" s="9">
        <v>0</v>
      </c>
      <c r="E49" s="9">
        <v>0</v>
      </c>
      <c r="F49" s="9">
        <v>0</v>
      </c>
      <c r="G49" s="9">
        <v>0</v>
      </c>
    </row>
    <row r="50" spans="1:7">
      <c r="A50" s="4" t="s">
        <v>237</v>
      </c>
      <c r="B50" s="5" t="s">
        <v>282</v>
      </c>
      <c r="C50" s="9" cm="1">
        <f t="array" ref="C50:G50">AccountsReceivable_payout + RawMaterials_payout + FinishedGoods_payout + WagesPayable_payout + OtherAccountsPayable_payout + MinimumOperatingCash_payout</f>
        <v>0</v>
      </c>
      <c r="D50" s="9">
        <v>0</v>
      </c>
      <c r="E50" s="9">
        <v>0</v>
      </c>
      <c r="F50" s="9">
        <v>0</v>
      </c>
      <c r="G50" s="9">
        <v>0</v>
      </c>
    </row>
    <row r="51" spans="1:7">
      <c r="A51" s="4" t="s">
        <v>239</v>
      </c>
      <c r="B51" s="5" t="s">
        <v>283</v>
      </c>
      <c r="C51" s="9" cm="1">
        <f t="array" ref="C51:G51">FN.SEEDROW(0, IN.ASMPT_payout("capex pct of sales change") * (IS!Sales_payout - FN.PREV(IS!Sales_payout)))</f>
        <v>0</v>
      </c>
      <c r="D51" s="9">
        <v>0</v>
      </c>
      <c r="E51" s="9">
        <v>0</v>
      </c>
      <c r="F51" s="9">
        <v>0</v>
      </c>
      <c r="G51" s="9">
        <v>0</v>
      </c>
    </row>
    <row r="52" spans="1:7">
      <c r="A52" s="4" t="s">
        <v>76</v>
      </c>
      <c r="B52" s="5" t="s">
        <v>175</v>
      </c>
      <c r="C52" s="9" cm="1">
        <f t="array" ref="C52:G53">_xlfn.LET(_xlpm.dep_rate, IN.ASMPT_payout("avg depreciation on NFA"), _xlpm.capex, CapitalExpenditures_payout, _xlpm.nfa, FN.SEEDREC( IN.ASMPT_payout("initial net fixed assets"), _xlpm.capex, _xlfn.LAMBDA(_xlpm.prev, _xlpm.c, (_xlpm.prev + _xlpm.c) * (1 - _xlpm.dep_rate))), _xlfn.VSTACK( FN.SEEDROW(0, -_xlpm.dep_rate * (FN.PREV(_xlpm.nfa) + _xlpm.capex)), _xlpm.nfa))</f>
        <v>0</v>
      </c>
      <c r="D52" s="9">
        <v>0</v>
      </c>
      <c r="E52" s="9">
        <v>0</v>
      </c>
      <c r="F52" s="9">
        <v>0</v>
      </c>
      <c r="G52" s="9">
        <v>0</v>
      </c>
    </row>
    <row r="53" spans="1:7">
      <c r="A53" s="4" t="s">
        <v>241</v>
      </c>
      <c r="B53" s="5" t="s">
        <v>284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</row>
    <row r="54" spans="1:7">
      <c r="A54" s="4" t="s">
        <v>243</v>
      </c>
      <c r="B54" s="5" t="s">
        <v>285</v>
      </c>
      <c r="C54" s="9" cm="1">
        <f t="array" ref="C54:G54">NetWorkingCapital_payout + NetFixedAssets_payout</f>
        <v>0</v>
      </c>
      <c r="D54" s="9">
        <v>0</v>
      </c>
      <c r="E54" s="9">
        <v>0</v>
      </c>
      <c r="F54" s="9">
        <v>0</v>
      </c>
      <c r="G54" s="9">
        <v>0</v>
      </c>
    </row>
    <row r="55" spans="1:7">
      <c r="A55" s="4" t="s">
        <v>245</v>
      </c>
      <c r="B55" s="5" t="s">
        <v>286</v>
      </c>
      <c r="C55" s="9" cm="1">
        <f t="array" ref="C55:G55">FN.SPREAD(INDEX((FinancialDebt_payout + BankOverdraft_payout + StockholdersEquity_payout) - (TotalNetOperatingAssets_payout + ExcessCash_payout), 1, 1), Model!Periods)</f>
        <v>0</v>
      </c>
      <c r="D55" s="9">
        <v>0</v>
      </c>
      <c r="E55" s="9">
        <v>0</v>
      </c>
      <c r="F55" s="9">
        <v>0</v>
      </c>
      <c r="G55" s="9">
        <v>0</v>
      </c>
    </row>
    <row r="56" spans="1:7">
      <c r="A56" s="4" t="s">
        <v>247</v>
      </c>
      <c r="B56" s="5" t="s">
        <v>287</v>
      </c>
      <c r="C56" s="9" cm="1">
        <f t="array" ref="C56:G56">'SCF recursive'!ExcessCash_payout</f>
        <v>0</v>
      </c>
      <c r="D56" s="9">
        <v>0</v>
      </c>
      <c r="E56" s="9">
        <v>0</v>
      </c>
      <c r="F56" s="9">
        <v>0</v>
      </c>
      <c r="G56" s="9">
        <v>0</v>
      </c>
    </row>
    <row r="57" spans="1:7">
      <c r="A57" s="4" t="s">
        <v>249</v>
      </c>
      <c r="B57" s="5" t="s">
        <v>288</v>
      </c>
      <c r="C57" s="9" cm="1">
        <f t="array" ref="C57:G57">TotalNetOperatingAssets_payout + Goodwill_payout + ExcessCash_payout</f>
        <v>0</v>
      </c>
      <c r="D57" s="9">
        <v>0</v>
      </c>
      <c r="E57" s="9">
        <v>0</v>
      </c>
      <c r="F57" s="9">
        <v>0</v>
      </c>
      <c r="G57" s="9">
        <v>0</v>
      </c>
    </row>
    <row r="58" spans="1:7">
      <c r="A58" s="4" t="s">
        <v>251</v>
      </c>
      <c r="B58" s="5" t="s">
        <v>289</v>
      </c>
      <c r="C58" s="9" cm="1">
        <f t="array" ref="C58:G58">FinDebt!OutstandingDebt_payout</f>
        <v>0</v>
      </c>
      <c r="D58" s="9">
        <v>0</v>
      </c>
      <c r="E58" s="9">
        <v>0</v>
      </c>
      <c r="F58" s="9">
        <v>0</v>
      </c>
      <c r="G58" s="9">
        <v>0</v>
      </c>
    </row>
    <row r="59" spans="1:7">
      <c r="A59" s="4" t="s">
        <v>253</v>
      </c>
      <c r="B59" s="5" t="s">
        <v>290</v>
      </c>
      <c r="C59" s="9" cm="1">
        <f t="array" ref="C59:G59">'SCF recursive'!BankOverdraft_payout</f>
        <v>0</v>
      </c>
      <c r="D59" s="9">
        <v>0</v>
      </c>
      <c r="E59" s="9">
        <v>0</v>
      </c>
      <c r="F59" s="9">
        <v>0</v>
      </c>
      <c r="G59" s="9">
        <v>0</v>
      </c>
    </row>
    <row r="60" spans="1:7">
      <c r="A60" s="4" t="s">
        <v>255</v>
      </c>
      <c r="B60" s="5" t="s">
        <v>183</v>
      </c>
      <c r="C60" s="9" cm="1">
        <f t="array" ref="C60:G60">IS!NetIncome_payout</f>
        <v>0</v>
      </c>
      <c r="D60" s="9">
        <v>0</v>
      </c>
      <c r="E60" s="9">
        <v>0</v>
      </c>
      <c r="F60" s="9">
        <v>0</v>
      </c>
      <c r="G60" s="9">
        <v>0</v>
      </c>
    </row>
    <row r="61" spans="1:7">
      <c r="A61" s="4" t="s">
        <v>256</v>
      </c>
      <c r="B61" s="5" t="s">
        <v>291</v>
      </c>
      <c r="C61" s="9" cm="1">
        <f t="array" ref="C61:G61">'SCF recursive'!Dividends_payout</f>
        <v>0</v>
      </c>
      <c r="D61" s="9">
        <v>0</v>
      </c>
      <c r="E61" s="9">
        <v>0</v>
      </c>
      <c r="F61" s="9">
        <v>0</v>
      </c>
      <c r="G61" s="9">
        <v>0</v>
      </c>
    </row>
    <row r="62" spans="1:7">
      <c r="A62" s="4" t="s">
        <v>258</v>
      </c>
      <c r="B62" s="5" t="s">
        <v>292</v>
      </c>
      <c r="C62" s="9" cm="1">
        <f t="array" ref="C62:G62">FN.SEEDROW(IN.ASMPT_payout("equity purchase price") - INDEX(FinancialDebt_payout, 1, 1), 'SCF recursive'!SaleOrPurchaseOfStock_payout)</f>
        <v>0</v>
      </c>
      <c r="D62" s="9">
        <v>0</v>
      </c>
      <c r="E62" s="9">
        <v>0</v>
      </c>
      <c r="F62" s="9">
        <v>0</v>
      </c>
      <c r="G62" s="9">
        <v>0</v>
      </c>
    </row>
    <row r="63" spans="1:7">
      <c r="A63" s="4" t="s">
        <v>260</v>
      </c>
      <c r="B63" s="5" t="s">
        <v>293</v>
      </c>
      <c r="C63" s="9" cm="1">
        <f t="array" ref="C63:G63">FN.SEEDREC(INDEX(SaleOrPurchaseOfStock_payout, 1, 1), NetIncome_payout + Dividends_payout + SaleOrPurchaseOfStock_payout, _xlfn.LAMBDA(_xlpm.prev, _xlpm.d, _xlpm.prev + _xlpm.d))</f>
        <v>0</v>
      </c>
      <c r="D63" s="9">
        <v>0</v>
      </c>
      <c r="E63" s="9">
        <v>0</v>
      </c>
      <c r="F63" s="9">
        <v>0</v>
      </c>
      <c r="G63" s="9">
        <v>0</v>
      </c>
    </row>
    <row r="64" spans="1:7">
      <c r="A64" s="4" t="s">
        <v>262</v>
      </c>
      <c r="B64" s="5" t="s">
        <v>294</v>
      </c>
      <c r="C64" s="9" cm="1">
        <f t="array" ref="C64:G64">FinancialDebt_payout + BankOverdraft_payout + StockholdersEquity_payout</f>
        <v>0</v>
      </c>
      <c r="D64" s="9">
        <v>0</v>
      </c>
      <c r="E64" s="9">
        <v>0</v>
      </c>
      <c r="F64" s="9">
        <v>0</v>
      </c>
      <c r="G64" s="9">
        <v>0</v>
      </c>
    </row>
    <row r="65" spans="1:7">
      <c r="A65" s="4" t="s">
        <v>264</v>
      </c>
      <c r="B65" s="5" t="s">
        <v>295</v>
      </c>
      <c r="C65" s="8" cm="1">
        <f t="array" ref="C65:G65">TotalAssets_payout - TotalLiabilitiesAndEquity_payout</f>
        <v>0</v>
      </c>
      <c r="D65" s="8">
        <v>0</v>
      </c>
      <c r="E65" s="8">
        <v>0</v>
      </c>
      <c r="F65" s="8">
        <v>0</v>
      </c>
      <c r="G65" s="8">
        <v>0</v>
      </c>
    </row>
    <row r="68" spans="1:7">
      <c r="A68" s="2" t="s">
        <v>266</v>
      </c>
    </row>
    <row r="69" spans="1:7">
      <c r="A69" s="3" t="s">
        <v>296</v>
      </c>
      <c r="B69" s="3" t="s">
        <v>54</v>
      </c>
      <c r="C69" s="6" cm="1">
        <f t="array" ref="C69:G69">Model!Years</f>
        <v>0</v>
      </c>
      <c r="D69" s="6">
        <v>0</v>
      </c>
      <c r="E69" s="6">
        <v>0</v>
      </c>
      <c r="F69" s="6">
        <v>0</v>
      </c>
      <c r="G69" s="6">
        <v>0</v>
      </c>
    </row>
    <row r="70" spans="1:7">
      <c r="A70" s="4" t="s">
        <v>237</v>
      </c>
      <c r="B70" s="5" t="s">
        <v>297</v>
      </c>
      <c r="C70" s="9" cm="1">
        <f t="array" ref="C70:G70">FN.DELTA(NetWorkingCapital_payout)</f>
        <v>0</v>
      </c>
      <c r="D70" s="9">
        <v>0</v>
      </c>
      <c r="E70" s="9">
        <v>0</v>
      </c>
      <c r="F70" s="9">
        <v>0</v>
      </c>
      <c r="G70" s="9">
        <v>0</v>
      </c>
    </row>
    <row r="71" spans="1:7">
      <c r="A71" s="4" t="s">
        <v>251</v>
      </c>
      <c r="B71" s="5" t="s">
        <v>298</v>
      </c>
      <c r="C71" s="9" cm="1">
        <f t="array" ref="C71:G71">FN.DELTA(FinancialDebt_payout)</f>
        <v>0</v>
      </c>
      <c r="D71" s="9">
        <v>0</v>
      </c>
      <c r="E71" s="9">
        <v>0</v>
      </c>
      <c r="F71" s="9">
        <v>0</v>
      </c>
      <c r="G71" s="9">
        <v>0</v>
      </c>
    </row>
    <row r="72" spans="1:7">
      <c r="A72" s="4" t="s">
        <v>241</v>
      </c>
      <c r="B72" s="5" t="s">
        <v>299</v>
      </c>
      <c r="C72" s="9" cm="1">
        <f t="array" ref="C72:G72">FN.DELTA(NetFixedAssets_payout)</f>
        <v>0</v>
      </c>
      <c r="D72" s="9">
        <v>0</v>
      </c>
      <c r="E72" s="9">
        <v>0</v>
      </c>
      <c r="F72" s="9">
        <v>0</v>
      </c>
      <c r="G72" s="9">
        <v>0</v>
      </c>
    </row>
    <row r="73" spans="1:7">
      <c r="A73" s="4" t="s">
        <v>235</v>
      </c>
      <c r="B73" s="5" t="s">
        <v>300</v>
      </c>
      <c r="C73" s="9" cm="1">
        <f t="array" ref="C73:G73">FN.DELTA(MinimumOperatingCash_payout)</f>
        <v>0</v>
      </c>
      <c r="D73" s="9">
        <v>0</v>
      </c>
      <c r="E73" s="9">
        <v>0</v>
      </c>
      <c r="F73" s="9">
        <v>0</v>
      </c>
      <c r="G73" s="9">
        <v>0</v>
      </c>
    </row>
    <row r="74" spans="1:7">
      <c r="A74" s="4" t="s">
        <v>226</v>
      </c>
      <c r="B74" s="5" t="s">
        <v>301</v>
      </c>
      <c r="C74" s="9" cm="1">
        <f t="array" ref="C74:G74">FN.DELTA(AccountsReceivable_payout)</f>
        <v>0</v>
      </c>
      <c r="D74" s="9">
        <v>0</v>
      </c>
      <c r="E74" s="9">
        <v>0</v>
      </c>
      <c r="F74" s="9">
        <v>0</v>
      </c>
      <c r="G74" s="9">
        <v>0</v>
      </c>
    </row>
    <row r="75" spans="1:7">
      <c r="A75" s="4" t="s">
        <v>228</v>
      </c>
      <c r="B75" s="5" t="s">
        <v>302</v>
      </c>
      <c r="C75" s="9" cm="1">
        <f t="array" ref="C75:G75">FN.DELTA(RawMaterials_payout)</f>
        <v>0</v>
      </c>
      <c r="D75" s="9">
        <v>0</v>
      </c>
      <c r="E75" s="9">
        <v>0</v>
      </c>
      <c r="F75" s="9">
        <v>0</v>
      </c>
      <c r="G75" s="9">
        <v>0</v>
      </c>
    </row>
    <row r="76" spans="1:7">
      <c r="A76" s="4" t="s">
        <v>229</v>
      </c>
      <c r="B76" s="5" t="s">
        <v>303</v>
      </c>
      <c r="C76" s="9" cm="1">
        <f t="array" ref="C76:G76">FN.DELTA(FinishedGoods_payout)</f>
        <v>0</v>
      </c>
      <c r="D76" s="9">
        <v>0</v>
      </c>
      <c r="E76" s="9">
        <v>0</v>
      </c>
      <c r="F76" s="9">
        <v>0</v>
      </c>
      <c r="G76" s="9">
        <v>0</v>
      </c>
    </row>
    <row r="77" spans="1:7">
      <c r="A77" s="4" t="s">
        <v>233</v>
      </c>
      <c r="B77" s="5" t="s">
        <v>304</v>
      </c>
      <c r="C77" s="9" cm="1">
        <f t="array" ref="C77:G77">FN.DELTA(OtherAccountsPayable_payout)</f>
        <v>0</v>
      </c>
      <c r="D77" s="9">
        <v>0</v>
      </c>
      <c r="E77" s="9">
        <v>0</v>
      </c>
      <c r="F77" s="9">
        <v>0</v>
      </c>
      <c r="G77" s="9">
        <v>0</v>
      </c>
    </row>
    <row r="78" spans="1:7">
      <c r="A78" s="4" t="s">
        <v>231</v>
      </c>
      <c r="B78" s="5" t="s">
        <v>305</v>
      </c>
      <c r="C78" s="9" cm="1">
        <f t="array" ref="C78:G78">FN.DELTA(WagesPayable_payout)</f>
        <v>0</v>
      </c>
      <c r="D78" s="9">
        <v>0</v>
      </c>
      <c r="E78" s="9">
        <v>0</v>
      </c>
      <c r="F78" s="9">
        <v>0</v>
      </c>
      <c r="G78" s="9">
        <v>0</v>
      </c>
    </row>
    <row r="81" spans="1:7">
      <c r="A81" s="3" t="s">
        <v>108</v>
      </c>
      <c r="B81" s="3" t="s">
        <v>54</v>
      </c>
      <c r="C81" s="6" cm="1">
        <f t="array" ref="C81:G81">Model!Years</f>
        <v>0</v>
      </c>
      <c r="D81" s="6">
        <v>0</v>
      </c>
      <c r="E81" s="6">
        <v>0</v>
      </c>
      <c r="F81" s="6">
        <v>0</v>
      </c>
      <c r="G81" s="6">
        <v>0</v>
      </c>
    </row>
    <row r="82" spans="1:7">
      <c r="A82" s="4" t="s">
        <v>226</v>
      </c>
      <c r="B82" s="5" t="s">
        <v>306</v>
      </c>
      <c r="C82" s="9" cm="1">
        <f t="array" ref="C82:G82">IN.ASMPT_deleverage("AR days") * IS!Sales_deleverage / 365</f>
        <v>0</v>
      </c>
      <c r="D82" s="9">
        <v>0</v>
      </c>
      <c r="E82" s="9">
        <v>0</v>
      </c>
      <c r="F82" s="9">
        <v>0</v>
      </c>
      <c r="G82" s="9">
        <v>0</v>
      </c>
    </row>
    <row r="83" spans="1:7">
      <c r="A83" s="4" t="s">
        <v>228</v>
      </c>
      <c r="B83" s="5" t="s">
        <v>185</v>
      </c>
      <c r="C83" s="9" cm="1">
        <f t="array" ref="C83:G83">-IN.ASMPT_deleverage("raw materials days") * IS!RawMaterials_deleverage / 365</f>
        <v>0</v>
      </c>
      <c r="D83" s="9">
        <v>0</v>
      </c>
      <c r="E83" s="9">
        <v>0</v>
      </c>
      <c r="F83" s="9">
        <v>0</v>
      </c>
      <c r="G83" s="9">
        <v>0</v>
      </c>
    </row>
    <row r="84" spans="1:7">
      <c r="A84" s="4" t="s">
        <v>229</v>
      </c>
      <c r="B84" s="5" t="s">
        <v>307</v>
      </c>
      <c r="C84" s="9" cm="1">
        <f t="array" ref="C84:G84">-IN.ASMPT_deleverage("finished goods days") * (IS!RawMaterials_deleverage + IS!DirectLaborCosts_deleverage) / 365</f>
        <v>0</v>
      </c>
      <c r="D84" s="9">
        <v>0</v>
      </c>
      <c r="E84" s="9">
        <v>0</v>
      </c>
      <c r="F84" s="9">
        <v>0</v>
      </c>
      <c r="G84" s="9">
        <v>0</v>
      </c>
    </row>
    <row r="85" spans="1:7">
      <c r="A85" s="4" t="s">
        <v>231</v>
      </c>
      <c r="B85" s="5" t="s">
        <v>308</v>
      </c>
      <c r="C85" s="9" cm="1">
        <f t="array" ref="C85:G85">IN.ASMPT_deleverage("wages payable days") * (IS!DirectLaborCosts_deleverage + IS!Administrative_deleverage) / 365</f>
        <v>0</v>
      </c>
      <c r="D85" s="9">
        <v>0</v>
      </c>
      <c r="E85" s="9">
        <v>0</v>
      </c>
      <c r="F85" s="9">
        <v>0</v>
      </c>
      <c r="G85" s="9">
        <v>0</v>
      </c>
    </row>
    <row r="86" spans="1:7">
      <c r="A86" s="4" t="s">
        <v>233</v>
      </c>
      <c r="B86" s="5" t="s">
        <v>309</v>
      </c>
      <c r="C86" s="9" cm="1">
        <f t="array" ref="C86:G86">IN.ASMPT_deleverage("other AP days") * (IS!RawMaterials_deleverage + IS!SalesAndMarketing_deleverage) / 365</f>
        <v>0</v>
      </c>
      <c r="D86" s="9">
        <v>0</v>
      </c>
      <c r="E86" s="9">
        <v>0</v>
      </c>
      <c r="F86" s="9">
        <v>0</v>
      </c>
      <c r="G86" s="9">
        <v>0</v>
      </c>
    </row>
    <row r="87" spans="1:7">
      <c r="A87" s="4" t="s">
        <v>235</v>
      </c>
      <c r="B87" s="5" t="s">
        <v>310</v>
      </c>
      <c r="C87" s="9" cm="1">
        <f t="array" ref="C87:G87">IN.ASMPT_deleverage("operating cash days") * IS!Sales_deleverage / 365</f>
        <v>0</v>
      </c>
      <c r="D87" s="9">
        <v>0</v>
      </c>
      <c r="E87" s="9">
        <v>0</v>
      </c>
      <c r="F87" s="9">
        <v>0</v>
      </c>
      <c r="G87" s="9">
        <v>0</v>
      </c>
    </row>
    <row r="88" spans="1:7">
      <c r="A88" s="4" t="s">
        <v>237</v>
      </c>
      <c r="B88" s="5" t="s">
        <v>311</v>
      </c>
      <c r="C88" s="9" cm="1">
        <f t="array" ref="C88:G88">AccountsReceivable_deleverage + RawMaterials_deleverage + FinishedGoods_deleverage + WagesPayable_deleverage + OtherAccountsPayable_deleverage + MinimumOperatingCash_deleverage</f>
        <v>0</v>
      </c>
      <c r="D88" s="9">
        <v>0</v>
      </c>
      <c r="E88" s="9">
        <v>0</v>
      </c>
      <c r="F88" s="9">
        <v>0</v>
      </c>
      <c r="G88" s="9">
        <v>0</v>
      </c>
    </row>
    <row r="89" spans="1:7">
      <c r="A89" s="4" t="s">
        <v>239</v>
      </c>
      <c r="B89" s="5" t="s">
        <v>312</v>
      </c>
      <c r="C89" s="9" cm="1">
        <f t="array" ref="C89:G89">FN.SEEDROW(0, IN.ASMPT_deleverage("capex pct of sales change") * (IS!Sales_deleverage - FN.PREV(IS!Sales_deleverage)))</f>
        <v>0</v>
      </c>
      <c r="D89" s="9">
        <v>0</v>
      </c>
      <c r="E89" s="9">
        <v>0</v>
      </c>
      <c r="F89" s="9">
        <v>0</v>
      </c>
      <c r="G89" s="9">
        <v>0</v>
      </c>
    </row>
    <row r="90" spans="1:7">
      <c r="A90" s="4" t="s">
        <v>76</v>
      </c>
      <c r="B90" s="5" t="s">
        <v>191</v>
      </c>
      <c r="C90" s="9" cm="1">
        <f t="array" ref="C90:G91">_xlfn.LET(_xlpm.dep_rate, IN.ASMPT_deleverage("avg depreciation on NFA"), _xlpm.capex, CapitalExpenditures_deleverage, _xlpm.nfa, FN.SEEDREC( IN.ASMPT_deleverage("initial net fixed assets"), _xlpm.capex, _xlfn.LAMBDA(_xlpm.prev, _xlpm.c, (_xlpm.prev + _xlpm.c) * (1 - _xlpm.dep_rate))), _xlfn.VSTACK( FN.SEEDROW(0, -_xlpm.dep_rate * (FN.PREV(_xlpm.nfa) + _xlpm.capex)), _xlpm.nfa))</f>
        <v>0</v>
      </c>
      <c r="D90" s="9">
        <v>0</v>
      </c>
      <c r="E90" s="9">
        <v>0</v>
      </c>
      <c r="F90" s="9">
        <v>0</v>
      </c>
      <c r="G90" s="9">
        <v>0</v>
      </c>
    </row>
    <row r="91" spans="1:7">
      <c r="A91" s="4" t="s">
        <v>241</v>
      </c>
      <c r="B91" s="5" t="s">
        <v>313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</row>
    <row r="92" spans="1:7">
      <c r="A92" s="4" t="s">
        <v>243</v>
      </c>
      <c r="B92" s="5" t="s">
        <v>314</v>
      </c>
      <c r="C92" s="9" cm="1">
        <f t="array" ref="C92:G92">NetWorkingCapital_deleverage + NetFixedAssets_deleverage</f>
        <v>0</v>
      </c>
      <c r="D92" s="9">
        <v>0</v>
      </c>
      <c r="E92" s="9">
        <v>0</v>
      </c>
      <c r="F92" s="9">
        <v>0</v>
      </c>
      <c r="G92" s="9">
        <v>0</v>
      </c>
    </row>
    <row r="93" spans="1:7">
      <c r="A93" s="4" t="s">
        <v>245</v>
      </c>
      <c r="B93" s="5" t="s">
        <v>315</v>
      </c>
      <c r="C93" s="9" cm="1">
        <f t="array" ref="C93:G93">FN.SPREAD(INDEX((FinancialDebt_deleverage + BankOverdraft_deleverage + StockholdersEquity_deleverage) - (TotalNetOperatingAssets_deleverage + ExcessCash_deleverage), 1, 1), Model!Periods)</f>
        <v>0</v>
      </c>
      <c r="D93" s="9">
        <v>0</v>
      </c>
      <c r="E93" s="9">
        <v>0</v>
      </c>
      <c r="F93" s="9">
        <v>0</v>
      </c>
      <c r="G93" s="9">
        <v>0</v>
      </c>
    </row>
    <row r="94" spans="1:7">
      <c r="A94" s="4" t="s">
        <v>247</v>
      </c>
      <c r="B94" s="5" t="s">
        <v>316</v>
      </c>
      <c r="C94" s="9" cm="1">
        <f t="array" ref="C94:G94">'SCF recursive'!ExcessCash_deleverage</f>
        <v>0</v>
      </c>
      <c r="D94" s="9">
        <v>0</v>
      </c>
      <c r="E94" s="9">
        <v>0</v>
      </c>
      <c r="F94" s="9">
        <v>0</v>
      </c>
      <c r="G94" s="9">
        <v>0</v>
      </c>
    </row>
    <row r="95" spans="1:7">
      <c r="A95" s="4" t="s">
        <v>249</v>
      </c>
      <c r="B95" s="5" t="s">
        <v>317</v>
      </c>
      <c r="C95" s="9" cm="1">
        <f t="array" ref="C95:G95">TotalNetOperatingAssets_deleverage + Goodwill_deleverage + ExcessCash_deleverage</f>
        <v>0</v>
      </c>
      <c r="D95" s="9">
        <v>0</v>
      </c>
      <c r="E95" s="9">
        <v>0</v>
      </c>
      <c r="F95" s="9">
        <v>0</v>
      </c>
      <c r="G95" s="9">
        <v>0</v>
      </c>
    </row>
    <row r="96" spans="1:7">
      <c r="A96" s="4" t="s">
        <v>251</v>
      </c>
      <c r="B96" s="5" t="s">
        <v>318</v>
      </c>
      <c r="C96" s="9" cm="1">
        <f t="array" ref="C96:G96">FinDebt!OutstandingDebt_deleverage</f>
        <v>0</v>
      </c>
      <c r="D96" s="9">
        <v>0</v>
      </c>
      <c r="E96" s="9">
        <v>0</v>
      </c>
      <c r="F96" s="9">
        <v>0</v>
      </c>
      <c r="G96" s="9">
        <v>0</v>
      </c>
    </row>
    <row r="97" spans="1:7">
      <c r="A97" s="4" t="s">
        <v>253</v>
      </c>
      <c r="B97" s="5" t="s">
        <v>319</v>
      </c>
      <c r="C97" s="9" cm="1">
        <f t="array" ref="C97:G97">'SCF recursive'!BankOverdraft_deleverage</f>
        <v>0</v>
      </c>
      <c r="D97" s="9">
        <v>0</v>
      </c>
      <c r="E97" s="9">
        <v>0</v>
      </c>
      <c r="F97" s="9">
        <v>0</v>
      </c>
      <c r="G97" s="9">
        <v>0</v>
      </c>
    </row>
    <row r="98" spans="1:7">
      <c r="A98" s="4" t="s">
        <v>255</v>
      </c>
      <c r="B98" s="5" t="s">
        <v>199</v>
      </c>
      <c r="C98" s="9" cm="1">
        <f t="array" ref="C98:G98">IS!NetIncome_deleverage</f>
        <v>0</v>
      </c>
      <c r="D98" s="9">
        <v>0</v>
      </c>
      <c r="E98" s="9">
        <v>0</v>
      </c>
      <c r="F98" s="9">
        <v>0</v>
      </c>
      <c r="G98" s="9">
        <v>0</v>
      </c>
    </row>
    <row r="99" spans="1:7">
      <c r="A99" s="4" t="s">
        <v>256</v>
      </c>
      <c r="B99" s="5" t="s">
        <v>320</v>
      </c>
      <c r="C99" s="9" cm="1">
        <f t="array" ref="C99:G99">'SCF recursive'!Dividends_deleverage</f>
        <v>0</v>
      </c>
      <c r="D99" s="9">
        <v>0</v>
      </c>
      <c r="E99" s="9">
        <v>0</v>
      </c>
      <c r="F99" s="9">
        <v>0</v>
      </c>
      <c r="G99" s="9">
        <v>0</v>
      </c>
    </row>
    <row r="100" spans="1:7">
      <c r="A100" s="4" t="s">
        <v>258</v>
      </c>
      <c r="B100" s="5" t="s">
        <v>321</v>
      </c>
      <c r="C100" s="9" cm="1">
        <f t="array" ref="C100:G100">FN.SEEDROW(IN.ASMPT_deleverage("equity purchase price") - INDEX(FinancialDebt_deleverage, 1, 1), 'SCF recursive'!SaleOrPurchaseOfStock_deleverage)</f>
        <v>0</v>
      </c>
      <c r="D100" s="9">
        <v>0</v>
      </c>
      <c r="E100" s="9">
        <v>0</v>
      </c>
      <c r="F100" s="9">
        <v>0</v>
      </c>
      <c r="G100" s="9">
        <v>0</v>
      </c>
    </row>
    <row r="101" spans="1:7">
      <c r="A101" s="4" t="s">
        <v>260</v>
      </c>
      <c r="B101" s="5" t="s">
        <v>322</v>
      </c>
      <c r="C101" s="9" cm="1">
        <f t="array" ref="C101:G101">FN.SEEDREC(INDEX(SaleOrPurchaseOfStock_deleverage, 1, 1), NetIncome_deleverage + Dividends_deleverage + SaleOrPurchaseOfStock_deleverage, _xlfn.LAMBDA(_xlpm.prev, _xlpm.d, _xlpm.prev + _xlpm.d))</f>
        <v>0</v>
      </c>
      <c r="D101" s="9">
        <v>0</v>
      </c>
      <c r="E101" s="9">
        <v>0</v>
      </c>
      <c r="F101" s="9">
        <v>0</v>
      </c>
      <c r="G101" s="9">
        <v>0</v>
      </c>
    </row>
    <row r="102" spans="1:7">
      <c r="A102" s="4" t="s">
        <v>262</v>
      </c>
      <c r="B102" s="5" t="s">
        <v>323</v>
      </c>
      <c r="C102" s="9" cm="1">
        <f t="array" ref="C102:G102">FinancialDebt_deleverage + BankOverdraft_deleverage + StockholdersEquity_deleverage</f>
        <v>0</v>
      </c>
      <c r="D102" s="9">
        <v>0</v>
      </c>
      <c r="E102" s="9">
        <v>0</v>
      </c>
      <c r="F102" s="9">
        <v>0</v>
      </c>
      <c r="G102" s="9">
        <v>0</v>
      </c>
    </row>
    <row r="103" spans="1:7">
      <c r="A103" s="4" t="s">
        <v>264</v>
      </c>
      <c r="B103" s="5" t="s">
        <v>324</v>
      </c>
      <c r="C103" s="8" cm="1">
        <f t="array" ref="C103:G103">TotalAssets_deleverage - TotalLiabilitiesAndEquity_deleverage</f>
        <v>0</v>
      </c>
      <c r="D103" s="8">
        <v>0</v>
      </c>
      <c r="E103" s="8">
        <v>0</v>
      </c>
      <c r="F103" s="8">
        <v>0</v>
      </c>
      <c r="G103" s="8">
        <v>0</v>
      </c>
    </row>
    <row r="106" spans="1:7">
      <c r="A106" s="2" t="s">
        <v>266</v>
      </c>
    </row>
    <row r="107" spans="1:7">
      <c r="A107" s="3" t="s">
        <v>325</v>
      </c>
      <c r="B107" s="3" t="s">
        <v>54</v>
      </c>
      <c r="C107" s="6" cm="1">
        <f t="array" ref="C107:G107">Model!Years</f>
        <v>0</v>
      </c>
      <c r="D107" s="6">
        <v>0</v>
      </c>
      <c r="E107" s="6">
        <v>0</v>
      </c>
      <c r="F107" s="6">
        <v>0</v>
      </c>
      <c r="G107" s="6">
        <v>0</v>
      </c>
    </row>
    <row r="108" spans="1:7">
      <c r="A108" s="4" t="s">
        <v>237</v>
      </c>
      <c r="B108" s="5" t="s">
        <v>326</v>
      </c>
      <c r="C108" s="9" cm="1">
        <f t="array" ref="C108:G108">FN.DELTA(NetWorkingCapital_deleverage)</f>
        <v>0</v>
      </c>
      <c r="D108" s="9">
        <v>0</v>
      </c>
      <c r="E108" s="9">
        <v>0</v>
      </c>
      <c r="F108" s="9">
        <v>0</v>
      </c>
      <c r="G108" s="9">
        <v>0</v>
      </c>
    </row>
    <row r="109" spans="1:7">
      <c r="A109" s="4" t="s">
        <v>251</v>
      </c>
      <c r="B109" s="5" t="s">
        <v>327</v>
      </c>
      <c r="C109" s="9" cm="1">
        <f t="array" ref="C109:G109">FN.DELTA(FinancialDebt_deleverage)</f>
        <v>0</v>
      </c>
      <c r="D109" s="9">
        <v>0</v>
      </c>
      <c r="E109" s="9">
        <v>0</v>
      </c>
      <c r="F109" s="9">
        <v>0</v>
      </c>
      <c r="G109" s="9">
        <v>0</v>
      </c>
    </row>
    <row r="110" spans="1:7">
      <c r="A110" s="4" t="s">
        <v>241</v>
      </c>
      <c r="B110" s="5" t="s">
        <v>328</v>
      </c>
      <c r="C110" s="9" cm="1">
        <f t="array" ref="C110:G110">FN.DELTA(NetFixedAssets_deleverage)</f>
        <v>0</v>
      </c>
      <c r="D110" s="9">
        <v>0</v>
      </c>
      <c r="E110" s="9">
        <v>0</v>
      </c>
      <c r="F110" s="9">
        <v>0</v>
      </c>
      <c r="G110" s="9">
        <v>0</v>
      </c>
    </row>
    <row r="111" spans="1:7">
      <c r="A111" s="4" t="s">
        <v>235</v>
      </c>
      <c r="B111" s="5" t="s">
        <v>329</v>
      </c>
      <c r="C111" s="9" cm="1">
        <f t="array" ref="C111:G111">FN.DELTA(MinimumOperatingCash_deleverage)</f>
        <v>0</v>
      </c>
      <c r="D111" s="9">
        <v>0</v>
      </c>
      <c r="E111" s="9">
        <v>0</v>
      </c>
      <c r="F111" s="9">
        <v>0</v>
      </c>
      <c r="G111" s="9">
        <v>0</v>
      </c>
    </row>
    <row r="112" spans="1:7">
      <c r="A112" s="4" t="s">
        <v>226</v>
      </c>
      <c r="B112" s="5" t="s">
        <v>330</v>
      </c>
      <c r="C112" s="9" cm="1">
        <f t="array" ref="C112:G112">FN.DELTA(AccountsReceivable_deleverage)</f>
        <v>0</v>
      </c>
      <c r="D112" s="9">
        <v>0</v>
      </c>
      <c r="E112" s="9">
        <v>0</v>
      </c>
      <c r="F112" s="9">
        <v>0</v>
      </c>
      <c r="G112" s="9">
        <v>0</v>
      </c>
    </row>
    <row r="113" spans="1:7">
      <c r="A113" s="4" t="s">
        <v>228</v>
      </c>
      <c r="B113" s="5" t="s">
        <v>331</v>
      </c>
      <c r="C113" s="9" cm="1">
        <f t="array" ref="C113:G113">FN.DELTA(RawMaterials_deleverage)</f>
        <v>0</v>
      </c>
      <c r="D113" s="9">
        <v>0</v>
      </c>
      <c r="E113" s="9">
        <v>0</v>
      </c>
      <c r="F113" s="9">
        <v>0</v>
      </c>
      <c r="G113" s="9">
        <v>0</v>
      </c>
    </row>
    <row r="114" spans="1:7">
      <c r="A114" s="4" t="s">
        <v>229</v>
      </c>
      <c r="B114" s="5" t="s">
        <v>332</v>
      </c>
      <c r="C114" s="9" cm="1">
        <f t="array" ref="C114:G114">FN.DELTA(FinishedGoods_deleverage)</f>
        <v>0</v>
      </c>
      <c r="D114" s="9">
        <v>0</v>
      </c>
      <c r="E114" s="9">
        <v>0</v>
      </c>
      <c r="F114" s="9">
        <v>0</v>
      </c>
      <c r="G114" s="9">
        <v>0</v>
      </c>
    </row>
    <row r="115" spans="1:7">
      <c r="A115" s="4" t="s">
        <v>233</v>
      </c>
      <c r="B115" s="5" t="s">
        <v>333</v>
      </c>
      <c r="C115" s="9" cm="1">
        <f t="array" ref="C115:G115">FN.DELTA(OtherAccountsPayable_deleverage)</f>
        <v>0</v>
      </c>
      <c r="D115" s="9">
        <v>0</v>
      </c>
      <c r="E115" s="9">
        <v>0</v>
      </c>
      <c r="F115" s="9">
        <v>0</v>
      </c>
      <c r="G115" s="9">
        <v>0</v>
      </c>
    </row>
    <row r="116" spans="1:7">
      <c r="A116" s="4" t="s">
        <v>231</v>
      </c>
      <c r="B116" s="5" t="s">
        <v>334</v>
      </c>
      <c r="C116" s="9" cm="1">
        <f t="array" ref="C116:G116">FN.DELTA(WagesPayable_deleverage)</f>
        <v>0</v>
      </c>
      <c r="D116" s="9">
        <v>0</v>
      </c>
      <c r="E116" s="9">
        <v>0</v>
      </c>
      <c r="F116" s="9">
        <v>0</v>
      </c>
      <c r="G116" s="9">
        <v>0</v>
      </c>
    </row>
    <row r="120" spans="1:7">
      <c r="A120" s="3" t="s">
        <v>115</v>
      </c>
    </row>
    <row r="121" spans="1:7">
      <c r="A121" s="7" t="s">
        <v>335</v>
      </c>
      <c r="B121" s="5" t="s">
        <v>227</v>
      </c>
    </row>
    <row r="122" spans="1:7">
      <c r="A122" s="7" t="s">
        <v>336</v>
      </c>
      <c r="B122" s="5" t="s">
        <v>143</v>
      </c>
    </row>
    <row r="123" spans="1:7">
      <c r="A123" s="7" t="s">
        <v>337</v>
      </c>
      <c r="B123" s="5" t="s">
        <v>230</v>
      </c>
    </row>
    <row r="124" spans="1:7">
      <c r="A124" s="7" t="s">
        <v>338</v>
      </c>
      <c r="B124" s="5" t="s">
        <v>232</v>
      </c>
    </row>
    <row r="125" spans="1:7">
      <c r="A125" s="7" t="s">
        <v>339</v>
      </c>
      <c r="B125" s="5" t="s">
        <v>234</v>
      </c>
    </row>
    <row r="126" spans="1:7">
      <c r="A126" s="7" t="s">
        <v>340</v>
      </c>
      <c r="B126" s="5" t="s">
        <v>236</v>
      </c>
    </row>
    <row r="127" spans="1:7">
      <c r="A127" s="7" t="s">
        <v>341</v>
      </c>
      <c r="B127" s="5" t="s">
        <v>238</v>
      </c>
    </row>
    <row r="128" spans="1:7">
      <c r="A128" s="7" t="s">
        <v>342</v>
      </c>
      <c r="B128" s="5" t="s">
        <v>240</v>
      </c>
    </row>
    <row r="129" spans="1:2">
      <c r="A129" s="7" t="s">
        <v>343</v>
      </c>
      <c r="B129" s="5" t="s">
        <v>344</v>
      </c>
    </row>
    <row r="130" spans="1:2">
      <c r="A130" s="7" t="s">
        <v>345</v>
      </c>
      <c r="B130" s="5" t="s">
        <v>344</v>
      </c>
    </row>
    <row r="131" spans="1:2">
      <c r="A131" s="7" t="s">
        <v>346</v>
      </c>
      <c r="B131" s="5" t="s">
        <v>344</v>
      </c>
    </row>
    <row r="132" spans="1:2">
      <c r="A132" s="7" t="s">
        <v>347</v>
      </c>
      <c r="B132" s="5" t="s">
        <v>244</v>
      </c>
    </row>
    <row r="133" spans="1:2">
      <c r="A133" s="7" t="s">
        <v>348</v>
      </c>
      <c r="B133" s="5" t="s">
        <v>246</v>
      </c>
    </row>
    <row r="134" spans="1:2">
      <c r="A134" s="7" t="s">
        <v>349</v>
      </c>
      <c r="B134" s="5" t="s">
        <v>246</v>
      </c>
    </row>
    <row r="135" spans="1:2">
      <c r="A135" s="7" t="s">
        <v>350</v>
      </c>
      <c r="B135" s="5" t="s">
        <v>248</v>
      </c>
    </row>
    <row r="136" spans="1:2">
      <c r="A136" s="7" t="s">
        <v>351</v>
      </c>
      <c r="B136" s="5" t="s">
        <v>250</v>
      </c>
    </row>
    <row r="137" spans="1:2">
      <c r="A137" s="7" t="s">
        <v>352</v>
      </c>
      <c r="B137" s="5" t="s">
        <v>252</v>
      </c>
    </row>
    <row r="138" spans="1:2">
      <c r="A138" s="7" t="s">
        <v>353</v>
      </c>
      <c r="B138" s="5" t="s">
        <v>254</v>
      </c>
    </row>
    <row r="139" spans="1:2">
      <c r="A139" s="7" t="s">
        <v>354</v>
      </c>
      <c r="B139" s="5" t="s">
        <v>167</v>
      </c>
    </row>
    <row r="140" spans="1:2">
      <c r="A140" s="7" t="s">
        <v>355</v>
      </c>
      <c r="B140" s="5" t="s">
        <v>257</v>
      </c>
    </row>
    <row r="141" spans="1:2">
      <c r="A141" s="7" t="s">
        <v>356</v>
      </c>
      <c r="B141" s="5" t="s">
        <v>259</v>
      </c>
    </row>
    <row r="142" spans="1:2">
      <c r="A142" s="7" t="s">
        <v>357</v>
      </c>
      <c r="B142" s="5" t="s">
        <v>259</v>
      </c>
    </row>
    <row r="143" spans="1:2">
      <c r="A143" s="7" t="s">
        <v>358</v>
      </c>
      <c r="B143" s="5" t="s">
        <v>261</v>
      </c>
    </row>
    <row r="144" spans="1:2">
      <c r="A144" s="7" t="s">
        <v>359</v>
      </c>
      <c r="B144" s="5" t="s">
        <v>261</v>
      </c>
    </row>
    <row r="145" spans="1:2">
      <c r="A145" s="7" t="s">
        <v>360</v>
      </c>
      <c r="B145" s="5" t="s">
        <v>263</v>
      </c>
    </row>
    <row r="146" spans="1:2">
      <c r="A146" s="7" t="s">
        <v>361</v>
      </c>
      <c r="B146" s="5" t="s">
        <v>265</v>
      </c>
    </row>
    <row r="147" spans="1:2">
      <c r="A147" s="7" t="s">
        <v>362</v>
      </c>
      <c r="B147" s="5" t="s">
        <v>268</v>
      </c>
    </row>
    <row r="149" spans="1:2">
      <c r="A149" s="2" t="s">
        <v>363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75"/>
  <sheetViews>
    <sheetView workbookViewId="0"/>
  </sheetViews>
  <sheetFormatPr defaultRowHeight="15"/>
  <cols>
    <col min="1" max="1" width="34.7109375" customWidth="1"/>
    <col min="2" max="2" width="40.7109375" customWidth="1"/>
    <col min="3" max="7" width="15.7109375" customWidth="1"/>
  </cols>
  <sheetData>
    <row r="1" spans="1:7">
      <c r="A1" s="1" t="s">
        <v>364</v>
      </c>
    </row>
    <row r="2" spans="1:7">
      <c r="A2" s="2" t="s">
        <v>365</v>
      </c>
    </row>
    <row r="3" spans="1:7">
      <c r="A3" s="2" t="s">
        <v>97</v>
      </c>
    </row>
    <row r="5" spans="1:7">
      <c r="A5" s="3" t="s">
        <v>98</v>
      </c>
      <c r="B5" s="3" t="s">
        <v>54</v>
      </c>
      <c r="C5" s="6" cm="1">
        <f t="array" ref="C5:G5">Model!Years</f>
        <v>0</v>
      </c>
      <c r="D5" s="6">
        <v>0</v>
      </c>
      <c r="E5" s="6">
        <v>0</v>
      </c>
      <c r="F5" s="6">
        <v>0</v>
      </c>
      <c r="G5" s="6">
        <v>0</v>
      </c>
    </row>
    <row r="6" spans="1:7">
      <c r="A6" s="4" t="s">
        <v>152</v>
      </c>
      <c r="B6" s="5" t="s">
        <v>153</v>
      </c>
      <c r="C6" s="9" cm="1">
        <f t="array" ref="C6:G6">FN.SEEDROW(0, IS!EBIT_base)</f>
        <v>0</v>
      </c>
      <c r="D6" s="9">
        <v>0</v>
      </c>
      <c r="E6" s="9">
        <v>0</v>
      </c>
      <c r="F6" s="9">
        <v>0</v>
      </c>
      <c r="G6" s="9">
        <v>0</v>
      </c>
    </row>
    <row r="7" spans="1:7">
      <c r="A7" s="4" t="s">
        <v>366</v>
      </c>
      <c r="B7" s="5" t="s">
        <v>367</v>
      </c>
      <c r="C7" s="9" cm="1">
        <f t="array" ref="C7:G7">FN.SEEDROW(0, -EBIT_base * IN.RATE_base("tax rate"))</f>
        <v>0</v>
      </c>
      <c r="D7" s="9">
        <v>0</v>
      </c>
      <c r="E7" s="9">
        <v>0</v>
      </c>
      <c r="F7" s="9">
        <v>0</v>
      </c>
      <c r="G7" s="9">
        <v>0</v>
      </c>
    </row>
    <row r="8" spans="1:7">
      <c r="A8" s="4" t="s">
        <v>368</v>
      </c>
      <c r="B8" s="5" t="s">
        <v>369</v>
      </c>
      <c r="C8" s="9" cm="1">
        <f t="array" ref="C8:G8">FN.SEEDROW(0, EBIT_base + LessTaxesOnEBIT_base)</f>
        <v>0</v>
      </c>
      <c r="D8" s="9">
        <v>0</v>
      </c>
      <c r="E8" s="9">
        <v>0</v>
      </c>
      <c r="F8" s="9">
        <v>0</v>
      </c>
      <c r="G8" s="9">
        <v>0</v>
      </c>
    </row>
    <row r="9" spans="1:7">
      <c r="A9" s="4" t="s">
        <v>370</v>
      </c>
      <c r="B9" s="5" t="s">
        <v>371</v>
      </c>
      <c r="C9" s="9" cm="1">
        <f t="array" ref="C9:G9">FN.SEEDROW(0, -IS!Depreciation_base)</f>
        <v>0</v>
      </c>
      <c r="D9" s="9">
        <v>0</v>
      </c>
      <c r="E9" s="9">
        <v>0</v>
      </c>
      <c r="F9" s="9">
        <v>0</v>
      </c>
      <c r="G9" s="9">
        <v>0</v>
      </c>
    </row>
    <row r="10" spans="1:7">
      <c r="A10" s="4" t="s">
        <v>372</v>
      </c>
      <c r="B10" s="5" t="s">
        <v>373</v>
      </c>
      <c r="C10" s="9" cm="1">
        <f t="array" ref="C10:G10">FN.SEEDROW(0, -BS!DeltaNetWorkingCapital_base)</f>
        <v>0</v>
      </c>
      <c r="D10" s="9">
        <v>0</v>
      </c>
      <c r="E10" s="9">
        <v>0</v>
      </c>
      <c r="F10" s="9">
        <v>0</v>
      </c>
      <c r="G10" s="9">
        <v>0</v>
      </c>
    </row>
    <row r="11" spans="1:7">
      <c r="A11" s="4" t="s">
        <v>374</v>
      </c>
      <c r="B11" s="5" t="s">
        <v>375</v>
      </c>
      <c r="C11" s="9" cm="1">
        <f t="array" ref="C11:G11">FN.SEEDROW(0, -BS!CapitalExpenditures_base)</f>
        <v>0</v>
      </c>
      <c r="D11" s="9">
        <v>0</v>
      </c>
      <c r="E11" s="9">
        <v>0</v>
      </c>
      <c r="F11" s="9">
        <v>0</v>
      </c>
      <c r="G11" s="9">
        <v>0</v>
      </c>
    </row>
    <row r="12" spans="1:7">
      <c r="A12" s="4" t="s">
        <v>376</v>
      </c>
      <c r="B12" s="5" t="s">
        <v>377</v>
      </c>
      <c r="C12" s="9" cm="1">
        <f t="array" ref="C12:G12">FN.SEEDROW(0, UnleveredNetIncome_base + PlusDepreciation_base + LessChangesInNWC_base + LessCapex_base)</f>
        <v>0</v>
      </c>
      <c r="D12" s="9">
        <v>0</v>
      </c>
      <c r="E12" s="9">
        <v>0</v>
      </c>
      <c r="F12" s="9">
        <v>0</v>
      </c>
      <c r="G12" s="9">
        <v>0</v>
      </c>
    </row>
    <row r="13" spans="1:7">
      <c r="A13" s="4" t="s">
        <v>378</v>
      </c>
      <c r="B13" s="5" t="s">
        <v>379</v>
      </c>
      <c r="C13" s="9" cm="1">
        <f t="array" ref="C13:G13">FN.SEEDROW(0, BS!DeltaFinancialDebt_base)</f>
        <v>0</v>
      </c>
      <c r="D13" s="9">
        <v>0</v>
      </c>
      <c r="E13" s="9">
        <v>0</v>
      </c>
      <c r="F13" s="9">
        <v>0</v>
      </c>
      <c r="G13" s="9">
        <v>0</v>
      </c>
    </row>
    <row r="14" spans="1:7">
      <c r="A14" s="4" t="s">
        <v>380</v>
      </c>
      <c r="B14" s="5" t="s">
        <v>381</v>
      </c>
      <c r="C14" s="9" cm="1">
        <f t="array" ref="C14:G14">FN.SEEDROW(0, -FinDebt!Interest_base * (1 - IN.RATE_base("tax rate")))</f>
        <v>0</v>
      </c>
      <c r="D14" s="9">
        <v>0</v>
      </c>
      <c r="E14" s="9">
        <v>0</v>
      </c>
      <c r="F14" s="9">
        <v>0</v>
      </c>
      <c r="G14" s="9">
        <v>0</v>
      </c>
    </row>
    <row r="15" spans="1:7">
      <c r="A15" s="4" t="s">
        <v>382</v>
      </c>
      <c r="B15" s="5" t="s">
        <v>383</v>
      </c>
      <c r="C15" s="9" cm="1">
        <f t="array" ref="C15:G15">FN.SEEDROW(0, FCFF_base + PlusNetBorrowing_base + LessAfterTaxFindebtInterest_base)</f>
        <v>0</v>
      </c>
      <c r="D15" s="9">
        <v>0</v>
      </c>
      <c r="E15" s="9">
        <v>0</v>
      </c>
      <c r="F15" s="9">
        <v>0</v>
      </c>
      <c r="G15" s="9">
        <v>0</v>
      </c>
    </row>
    <row r="16" spans="1:7">
      <c r="A16" s="4" t="s">
        <v>384</v>
      </c>
      <c r="B16" s="5" t="s">
        <v>385</v>
      </c>
      <c r="C16" s="9" cm="1">
        <f t="array" ref="C16:G16">FN.SEEDROW(0, IF(FCFE_base &gt; 0, -FCFE_base, 0))</f>
        <v>0</v>
      </c>
      <c r="D16" s="9">
        <v>0</v>
      </c>
      <c r="E16" s="9">
        <v>0</v>
      </c>
      <c r="F16" s="9">
        <v>0</v>
      </c>
      <c r="G16" s="9">
        <v>0</v>
      </c>
    </row>
    <row r="17" spans="1:7">
      <c r="A17" s="4" t="s">
        <v>386</v>
      </c>
      <c r="B17" s="5" t="s">
        <v>387</v>
      </c>
      <c r="C17" s="9" cm="1">
        <f t="array" ref="C17:G17">FN.SEEDROW(0, IF(FCFE_base &lt; 0, -FCFE_base, 0))</f>
        <v>0</v>
      </c>
      <c r="D17" s="9">
        <v>0</v>
      </c>
      <c r="E17" s="9">
        <v>0</v>
      </c>
      <c r="F17" s="9">
        <v>0</v>
      </c>
      <c r="G17" s="9">
        <v>0</v>
      </c>
    </row>
    <row r="18" spans="1:7">
      <c r="A18" s="4" t="s">
        <v>388</v>
      </c>
      <c r="B18" s="5" t="s">
        <v>389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</row>
    <row r="19" spans="1:7">
      <c r="A19" s="4" t="s">
        <v>390</v>
      </c>
      <c r="B19" s="5" t="s">
        <v>391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</row>
    <row r="20" spans="1:7">
      <c r="A20" s="4" t="s">
        <v>392</v>
      </c>
      <c r="B20" s="5" t="s">
        <v>393</v>
      </c>
      <c r="C20" s="9" cm="1">
        <f t="array" ref="C20:G20">FN.SEEDROW(0, FCFE_base + FreeDividends_base + FreeSaleOrPurchaseOfStock_base)</f>
        <v>0</v>
      </c>
      <c r="D20" s="9">
        <v>0</v>
      </c>
      <c r="E20" s="9">
        <v>0</v>
      </c>
      <c r="F20" s="9">
        <v>0</v>
      </c>
      <c r="G20" s="9">
        <v>0</v>
      </c>
    </row>
    <row r="23" spans="1:7">
      <c r="A23" s="3" t="s">
        <v>101</v>
      </c>
      <c r="B23" s="3" t="s">
        <v>54</v>
      </c>
      <c r="C23" s="6" cm="1">
        <f t="array" ref="C23:G23">Model!Years</f>
        <v>0</v>
      </c>
      <c r="D23" s="6">
        <v>0</v>
      </c>
      <c r="E23" s="6">
        <v>0</v>
      </c>
      <c r="F23" s="6">
        <v>0</v>
      </c>
      <c r="G23" s="6">
        <v>0</v>
      </c>
    </row>
    <row r="24" spans="1:7">
      <c r="A24" s="4" t="s">
        <v>152</v>
      </c>
      <c r="B24" s="5" t="s">
        <v>176</v>
      </c>
      <c r="C24" s="9" cm="1">
        <f t="array" ref="C24:G24">FN.SEEDROW(0, IS!EBIT_payout)</f>
        <v>0</v>
      </c>
      <c r="D24" s="9">
        <v>0</v>
      </c>
      <c r="E24" s="9">
        <v>0</v>
      </c>
      <c r="F24" s="9">
        <v>0</v>
      </c>
      <c r="G24" s="9">
        <v>0</v>
      </c>
    </row>
    <row r="25" spans="1:7">
      <c r="A25" s="4" t="s">
        <v>366</v>
      </c>
      <c r="B25" s="5" t="s">
        <v>394</v>
      </c>
      <c r="C25" s="9" cm="1">
        <f t="array" ref="C25:G25">FN.SEEDROW(0, -EBIT_payout * IN.RATE_payout("tax rate"))</f>
        <v>0</v>
      </c>
      <c r="D25" s="9">
        <v>0</v>
      </c>
      <c r="E25" s="9">
        <v>0</v>
      </c>
      <c r="F25" s="9">
        <v>0</v>
      </c>
      <c r="G25" s="9">
        <v>0</v>
      </c>
    </row>
    <row r="26" spans="1:7">
      <c r="A26" s="4" t="s">
        <v>368</v>
      </c>
      <c r="B26" s="5" t="s">
        <v>395</v>
      </c>
      <c r="C26" s="9" cm="1">
        <f t="array" ref="C26:G26">FN.SEEDROW(0, EBIT_payout + LessTaxesOnEBIT_payout)</f>
        <v>0</v>
      </c>
      <c r="D26" s="9">
        <v>0</v>
      </c>
      <c r="E26" s="9">
        <v>0</v>
      </c>
      <c r="F26" s="9">
        <v>0</v>
      </c>
      <c r="G26" s="9">
        <v>0</v>
      </c>
    </row>
    <row r="27" spans="1:7">
      <c r="A27" s="4" t="s">
        <v>370</v>
      </c>
      <c r="B27" s="5" t="s">
        <v>396</v>
      </c>
      <c r="C27" s="9" cm="1">
        <f t="array" ref="C27:G27">FN.SEEDROW(0, -IS!Depreciation_payout)</f>
        <v>0</v>
      </c>
      <c r="D27" s="9">
        <v>0</v>
      </c>
      <c r="E27" s="9">
        <v>0</v>
      </c>
      <c r="F27" s="9">
        <v>0</v>
      </c>
      <c r="G27" s="9">
        <v>0</v>
      </c>
    </row>
    <row r="28" spans="1:7">
      <c r="A28" s="4" t="s">
        <v>372</v>
      </c>
      <c r="B28" s="5" t="s">
        <v>397</v>
      </c>
      <c r="C28" s="9" cm="1">
        <f t="array" ref="C28:G28">FN.SEEDROW(0, -BS!DeltaNetWorkingCapital_payout)</f>
        <v>0</v>
      </c>
      <c r="D28" s="9">
        <v>0</v>
      </c>
      <c r="E28" s="9">
        <v>0</v>
      </c>
      <c r="F28" s="9">
        <v>0</v>
      </c>
      <c r="G28" s="9">
        <v>0</v>
      </c>
    </row>
    <row r="29" spans="1:7">
      <c r="A29" s="4" t="s">
        <v>374</v>
      </c>
      <c r="B29" s="5" t="s">
        <v>398</v>
      </c>
      <c r="C29" s="9" cm="1">
        <f t="array" ref="C29:G29">FN.SEEDROW(0, -BS!CapitalExpenditures_payout)</f>
        <v>0</v>
      </c>
      <c r="D29" s="9">
        <v>0</v>
      </c>
      <c r="E29" s="9">
        <v>0</v>
      </c>
      <c r="F29" s="9">
        <v>0</v>
      </c>
      <c r="G29" s="9">
        <v>0</v>
      </c>
    </row>
    <row r="30" spans="1:7">
      <c r="A30" s="4" t="s">
        <v>376</v>
      </c>
      <c r="B30" s="5" t="s">
        <v>399</v>
      </c>
      <c r="C30" s="9" cm="1">
        <f t="array" ref="C30:G30">FN.SEEDROW(0, UnleveredNetIncome_payout + PlusDepreciation_payout + LessChangesInNWC_payout + LessCapex_payout)</f>
        <v>0</v>
      </c>
      <c r="D30" s="9">
        <v>0</v>
      </c>
      <c r="E30" s="9">
        <v>0</v>
      </c>
      <c r="F30" s="9">
        <v>0</v>
      </c>
      <c r="G30" s="9">
        <v>0</v>
      </c>
    </row>
    <row r="31" spans="1:7">
      <c r="A31" s="4" t="s">
        <v>378</v>
      </c>
      <c r="B31" s="5" t="s">
        <v>400</v>
      </c>
      <c r="C31" s="9" cm="1">
        <f t="array" ref="C31:G31">FN.SEEDROW(0, BS!DeltaFinancialDebt_payout)</f>
        <v>0</v>
      </c>
      <c r="D31" s="9">
        <v>0</v>
      </c>
      <c r="E31" s="9">
        <v>0</v>
      </c>
      <c r="F31" s="9">
        <v>0</v>
      </c>
      <c r="G31" s="9">
        <v>0</v>
      </c>
    </row>
    <row r="32" spans="1:7">
      <c r="A32" s="4" t="s">
        <v>380</v>
      </c>
      <c r="B32" s="5" t="s">
        <v>401</v>
      </c>
      <c r="C32" s="9" cm="1">
        <f t="array" ref="C32:G32">FN.SEEDROW(0, -FinDebt!Interest_payout * (1 - IN.RATE_payout("tax rate")))</f>
        <v>0</v>
      </c>
      <c r="D32" s="9">
        <v>0</v>
      </c>
      <c r="E32" s="9">
        <v>0</v>
      </c>
      <c r="F32" s="9">
        <v>0</v>
      </c>
      <c r="G32" s="9">
        <v>0</v>
      </c>
    </row>
    <row r="33" spans="1:7">
      <c r="A33" s="4" t="s">
        <v>382</v>
      </c>
      <c r="B33" s="5" t="s">
        <v>402</v>
      </c>
      <c r="C33" s="9" cm="1">
        <f t="array" ref="C33:G33">FN.SEEDROW(0, FCFF_payout + PlusNetBorrowing_payout + LessAfterTaxFindebtInterest_payout)</f>
        <v>0</v>
      </c>
      <c r="D33" s="9">
        <v>0</v>
      </c>
      <c r="E33" s="9">
        <v>0</v>
      </c>
      <c r="F33" s="9">
        <v>0</v>
      </c>
      <c r="G33" s="9">
        <v>0</v>
      </c>
    </row>
    <row r="34" spans="1:7">
      <c r="A34" s="4" t="s">
        <v>384</v>
      </c>
      <c r="B34" s="5" t="s">
        <v>403</v>
      </c>
      <c r="C34" s="9" cm="1">
        <f t="array" ref="C34:G34">FN.SEEDROW(0, IF(FCFE_payout &gt; 0, -FCFE_payout, 0))</f>
        <v>0</v>
      </c>
      <c r="D34" s="9">
        <v>0</v>
      </c>
      <c r="E34" s="9">
        <v>0</v>
      </c>
      <c r="F34" s="9">
        <v>0</v>
      </c>
      <c r="G34" s="9">
        <v>0</v>
      </c>
    </row>
    <row r="35" spans="1:7">
      <c r="A35" s="4" t="s">
        <v>386</v>
      </c>
      <c r="B35" s="5" t="s">
        <v>404</v>
      </c>
      <c r="C35" s="9" cm="1">
        <f t="array" ref="C35:G35">FN.SEEDROW(0, IF(FCFE_payout &lt; 0, -FCFE_payout, 0))</f>
        <v>0</v>
      </c>
      <c r="D35" s="9">
        <v>0</v>
      </c>
      <c r="E35" s="9">
        <v>0</v>
      </c>
      <c r="F35" s="9">
        <v>0</v>
      </c>
      <c r="G35" s="9">
        <v>0</v>
      </c>
    </row>
    <row r="36" spans="1:7">
      <c r="A36" s="4" t="s">
        <v>388</v>
      </c>
      <c r="B36" s="5" t="s">
        <v>405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</row>
    <row r="37" spans="1:7">
      <c r="A37" s="4" t="s">
        <v>390</v>
      </c>
      <c r="B37" s="5" t="s">
        <v>406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</row>
    <row r="38" spans="1:7">
      <c r="A38" s="4" t="s">
        <v>392</v>
      </c>
      <c r="B38" s="5" t="s">
        <v>407</v>
      </c>
      <c r="C38" s="9" cm="1">
        <f t="array" ref="C38:G38">FN.SEEDROW(0, FCFE_payout + FreeDividends_payout + FreeSaleOrPurchaseOfStock_payout)</f>
        <v>0</v>
      </c>
      <c r="D38" s="9">
        <v>0</v>
      </c>
      <c r="E38" s="9">
        <v>0</v>
      </c>
      <c r="F38" s="9">
        <v>0</v>
      </c>
      <c r="G38" s="9">
        <v>0</v>
      </c>
    </row>
    <row r="41" spans="1:7">
      <c r="A41" s="3" t="s">
        <v>108</v>
      </c>
      <c r="B41" s="3" t="s">
        <v>54</v>
      </c>
      <c r="C41" s="6" cm="1">
        <f t="array" ref="C41:G41">Model!Years</f>
        <v>0</v>
      </c>
      <c r="D41" s="6">
        <v>0</v>
      </c>
      <c r="E41" s="6">
        <v>0</v>
      </c>
      <c r="F41" s="6">
        <v>0</v>
      </c>
      <c r="G41" s="6">
        <v>0</v>
      </c>
    </row>
    <row r="42" spans="1:7">
      <c r="A42" s="4" t="s">
        <v>152</v>
      </c>
      <c r="B42" s="5" t="s">
        <v>192</v>
      </c>
      <c r="C42" s="9" cm="1">
        <f t="array" ref="C42:G42">FN.SEEDROW(0, IS!EBIT_deleverage)</f>
        <v>0</v>
      </c>
      <c r="D42" s="9">
        <v>0</v>
      </c>
      <c r="E42" s="9">
        <v>0</v>
      </c>
      <c r="F42" s="9">
        <v>0</v>
      </c>
      <c r="G42" s="9">
        <v>0</v>
      </c>
    </row>
    <row r="43" spans="1:7">
      <c r="A43" s="4" t="s">
        <v>366</v>
      </c>
      <c r="B43" s="5" t="s">
        <v>408</v>
      </c>
      <c r="C43" s="9" cm="1">
        <f t="array" ref="C43:G43">FN.SEEDROW(0, -EBIT_deleverage * IN.RATE_deleverage("tax rate"))</f>
        <v>0</v>
      </c>
      <c r="D43" s="9">
        <v>0</v>
      </c>
      <c r="E43" s="9">
        <v>0</v>
      </c>
      <c r="F43" s="9">
        <v>0</v>
      </c>
      <c r="G43" s="9">
        <v>0</v>
      </c>
    </row>
    <row r="44" spans="1:7">
      <c r="A44" s="4" t="s">
        <v>368</v>
      </c>
      <c r="B44" s="5" t="s">
        <v>409</v>
      </c>
      <c r="C44" s="9" cm="1">
        <f t="array" ref="C44:G44">FN.SEEDROW(0, EBIT_deleverage + LessTaxesOnEBIT_deleverage)</f>
        <v>0</v>
      </c>
      <c r="D44" s="9">
        <v>0</v>
      </c>
      <c r="E44" s="9">
        <v>0</v>
      </c>
      <c r="F44" s="9">
        <v>0</v>
      </c>
      <c r="G44" s="9">
        <v>0</v>
      </c>
    </row>
    <row r="45" spans="1:7">
      <c r="A45" s="4" t="s">
        <v>370</v>
      </c>
      <c r="B45" s="5" t="s">
        <v>410</v>
      </c>
      <c r="C45" s="9" cm="1">
        <f t="array" ref="C45:G45">FN.SEEDROW(0, -IS!Depreciation_deleverage)</f>
        <v>0</v>
      </c>
      <c r="D45" s="9">
        <v>0</v>
      </c>
      <c r="E45" s="9">
        <v>0</v>
      </c>
      <c r="F45" s="9">
        <v>0</v>
      </c>
      <c r="G45" s="9">
        <v>0</v>
      </c>
    </row>
    <row r="46" spans="1:7">
      <c r="A46" s="4" t="s">
        <v>372</v>
      </c>
      <c r="B46" s="5" t="s">
        <v>411</v>
      </c>
      <c r="C46" s="9" cm="1">
        <f t="array" ref="C46:G46">FN.SEEDROW(0, -BS!DeltaNetWorkingCapital_deleverage)</f>
        <v>0</v>
      </c>
      <c r="D46" s="9">
        <v>0</v>
      </c>
      <c r="E46" s="9">
        <v>0</v>
      </c>
      <c r="F46" s="9">
        <v>0</v>
      </c>
      <c r="G46" s="9">
        <v>0</v>
      </c>
    </row>
    <row r="47" spans="1:7">
      <c r="A47" s="4" t="s">
        <v>374</v>
      </c>
      <c r="B47" s="5" t="s">
        <v>412</v>
      </c>
      <c r="C47" s="9" cm="1">
        <f t="array" ref="C47:G47">FN.SEEDROW(0, -BS!CapitalExpenditures_deleverage)</f>
        <v>0</v>
      </c>
      <c r="D47" s="9">
        <v>0</v>
      </c>
      <c r="E47" s="9">
        <v>0</v>
      </c>
      <c r="F47" s="9">
        <v>0</v>
      </c>
      <c r="G47" s="9">
        <v>0</v>
      </c>
    </row>
    <row r="48" spans="1:7">
      <c r="A48" s="4" t="s">
        <v>376</v>
      </c>
      <c r="B48" s="5" t="s">
        <v>413</v>
      </c>
      <c r="C48" s="9" cm="1">
        <f t="array" ref="C48:G48">FN.SEEDROW(0, UnleveredNetIncome_deleverage + PlusDepreciation_deleverage + LessChangesInNWC_deleverage + LessCapex_deleverage)</f>
        <v>0</v>
      </c>
      <c r="D48" s="9">
        <v>0</v>
      </c>
      <c r="E48" s="9">
        <v>0</v>
      </c>
      <c r="F48" s="9">
        <v>0</v>
      </c>
      <c r="G48" s="9">
        <v>0</v>
      </c>
    </row>
    <row r="49" spans="1:7">
      <c r="A49" s="4" t="s">
        <v>378</v>
      </c>
      <c r="B49" s="5" t="s">
        <v>414</v>
      </c>
      <c r="C49" s="9" cm="1">
        <f t="array" ref="C49:G49">FN.SEEDROW(0, BS!DeltaFinancialDebt_deleverage)</f>
        <v>0</v>
      </c>
      <c r="D49" s="9">
        <v>0</v>
      </c>
      <c r="E49" s="9">
        <v>0</v>
      </c>
      <c r="F49" s="9">
        <v>0</v>
      </c>
      <c r="G49" s="9">
        <v>0</v>
      </c>
    </row>
    <row r="50" spans="1:7">
      <c r="A50" s="4" t="s">
        <v>380</v>
      </c>
      <c r="B50" s="5" t="s">
        <v>415</v>
      </c>
      <c r="C50" s="9" cm="1">
        <f t="array" ref="C50:G50">FN.SEEDROW(0, -FinDebt!Interest_deleverage * (1 - IN.RATE_deleverage("tax rate")))</f>
        <v>0</v>
      </c>
      <c r="D50" s="9">
        <v>0</v>
      </c>
      <c r="E50" s="9">
        <v>0</v>
      </c>
      <c r="F50" s="9">
        <v>0</v>
      </c>
      <c r="G50" s="9">
        <v>0</v>
      </c>
    </row>
    <row r="51" spans="1:7">
      <c r="A51" s="4" t="s">
        <v>382</v>
      </c>
      <c r="B51" s="5" t="s">
        <v>416</v>
      </c>
      <c r="C51" s="9" cm="1">
        <f t="array" ref="C51:G51">FN.SEEDROW(0, FCFF_deleverage + PlusNetBorrowing_deleverage + LessAfterTaxFindebtInterest_deleverage)</f>
        <v>0</v>
      </c>
      <c r="D51" s="9">
        <v>0</v>
      </c>
      <c r="E51" s="9">
        <v>0</v>
      </c>
      <c r="F51" s="9">
        <v>0</v>
      </c>
      <c r="G51" s="9">
        <v>0</v>
      </c>
    </row>
    <row r="52" spans="1:7">
      <c r="A52" s="4" t="s">
        <v>384</v>
      </c>
      <c r="B52" s="5" t="s">
        <v>417</v>
      </c>
      <c r="C52" s="9" cm="1">
        <f t="array" ref="C52:G52">FN.SEEDROW(0, IF(FCFE_deleverage &gt; 0, -FCFE_deleverage, 0))</f>
        <v>0</v>
      </c>
      <c r="D52" s="9">
        <v>0</v>
      </c>
      <c r="E52" s="9">
        <v>0</v>
      </c>
      <c r="F52" s="9">
        <v>0</v>
      </c>
      <c r="G52" s="9">
        <v>0</v>
      </c>
    </row>
    <row r="53" spans="1:7">
      <c r="A53" s="4" t="s">
        <v>386</v>
      </c>
      <c r="B53" s="5" t="s">
        <v>418</v>
      </c>
      <c r="C53" s="9" cm="1">
        <f t="array" ref="C53:G53">FN.SEEDROW(0, IF(FCFE_deleverage &lt; 0, -FCFE_deleverage, 0))</f>
        <v>0</v>
      </c>
      <c r="D53" s="9">
        <v>0</v>
      </c>
      <c r="E53" s="9">
        <v>0</v>
      </c>
      <c r="F53" s="9">
        <v>0</v>
      </c>
      <c r="G53" s="9">
        <v>0</v>
      </c>
    </row>
    <row r="54" spans="1:7">
      <c r="A54" s="4" t="s">
        <v>388</v>
      </c>
      <c r="B54" s="5" t="s">
        <v>419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</row>
    <row r="55" spans="1:7">
      <c r="A55" s="4" t="s">
        <v>390</v>
      </c>
      <c r="B55" s="5" t="s">
        <v>420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</row>
    <row r="56" spans="1:7">
      <c r="A56" s="4" t="s">
        <v>392</v>
      </c>
      <c r="B56" s="5" t="s">
        <v>421</v>
      </c>
      <c r="C56" s="9" cm="1">
        <f t="array" ref="C56:G56">FN.SEEDROW(0, FCFE_deleverage + FreeDividends_deleverage + FreeSaleOrPurchaseOfStock_deleverage)</f>
        <v>0</v>
      </c>
      <c r="D56" s="9">
        <v>0</v>
      </c>
      <c r="E56" s="9">
        <v>0</v>
      </c>
      <c r="F56" s="9">
        <v>0</v>
      </c>
      <c r="G56" s="9">
        <v>0</v>
      </c>
    </row>
    <row r="60" spans="1:7">
      <c r="A60" s="3" t="s">
        <v>115</v>
      </c>
    </row>
    <row r="61" spans="1:7">
      <c r="A61" s="7" t="s">
        <v>422</v>
      </c>
      <c r="B61" s="5" t="s">
        <v>153</v>
      </c>
    </row>
    <row r="62" spans="1:7">
      <c r="A62" s="7" t="s">
        <v>423</v>
      </c>
      <c r="B62" s="5" t="s">
        <v>367</v>
      </c>
    </row>
    <row r="63" spans="1:7">
      <c r="A63" s="7" t="s">
        <v>424</v>
      </c>
      <c r="B63" s="5" t="s">
        <v>369</v>
      </c>
    </row>
    <row r="64" spans="1:7">
      <c r="A64" s="7" t="s">
        <v>425</v>
      </c>
      <c r="B64" s="5" t="s">
        <v>371</v>
      </c>
    </row>
    <row r="65" spans="1:2">
      <c r="A65" s="7" t="s">
        <v>426</v>
      </c>
      <c r="B65" s="5" t="s">
        <v>373</v>
      </c>
    </row>
    <row r="66" spans="1:2">
      <c r="A66" s="7" t="s">
        <v>427</v>
      </c>
      <c r="B66" s="5" t="s">
        <v>375</v>
      </c>
    </row>
    <row r="67" spans="1:2">
      <c r="A67" s="7" t="s">
        <v>428</v>
      </c>
      <c r="B67" s="5" t="s">
        <v>377</v>
      </c>
    </row>
    <row r="68" spans="1:2">
      <c r="A68" s="7" t="s">
        <v>429</v>
      </c>
      <c r="B68" s="5" t="s">
        <v>379</v>
      </c>
    </row>
    <row r="69" spans="1:2">
      <c r="A69" s="7" t="s">
        <v>430</v>
      </c>
      <c r="B69" s="5" t="s">
        <v>381</v>
      </c>
    </row>
    <row r="70" spans="1:2">
      <c r="A70" s="7" t="s">
        <v>431</v>
      </c>
      <c r="B70" s="5" t="s">
        <v>383</v>
      </c>
    </row>
    <row r="71" spans="1:2">
      <c r="A71" s="7" t="s">
        <v>432</v>
      </c>
      <c r="B71" s="5" t="s">
        <v>385</v>
      </c>
    </row>
    <row r="72" spans="1:2">
      <c r="A72" s="7" t="s">
        <v>433</v>
      </c>
      <c r="B72" s="5" t="s">
        <v>387</v>
      </c>
    </row>
    <row r="73" spans="1:2">
      <c r="A73" s="7" t="s">
        <v>434</v>
      </c>
      <c r="B73" s="5" t="s">
        <v>393</v>
      </c>
    </row>
    <row r="75" spans="1:2">
      <c r="A75" s="2" t="s">
        <v>435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40"/>
  <sheetViews>
    <sheetView workbookViewId="0"/>
  </sheetViews>
  <sheetFormatPr defaultRowHeight="15"/>
  <cols>
    <col min="1" max="1" width="34.7109375" customWidth="1"/>
    <col min="2" max="2" width="39.7109375" customWidth="1"/>
    <col min="3" max="7" width="15.7109375" customWidth="1"/>
  </cols>
  <sheetData>
    <row r="1" spans="1:7">
      <c r="A1" s="1" t="s">
        <v>436</v>
      </c>
    </row>
    <row r="2" spans="1:7">
      <c r="A2" s="2" t="s">
        <v>437</v>
      </c>
    </row>
    <row r="3" spans="1:7">
      <c r="A3" s="2" t="s">
        <v>97</v>
      </c>
    </row>
    <row r="5" spans="1:7">
      <c r="A5" s="3" t="s">
        <v>98</v>
      </c>
      <c r="B5" s="3" t="s">
        <v>54</v>
      </c>
      <c r="C5" s="6" cm="1">
        <f t="array" ref="C5:G5">Model!Years</f>
        <v>0</v>
      </c>
      <c r="D5" s="6">
        <v>0</v>
      </c>
      <c r="E5" s="6">
        <v>0</v>
      </c>
      <c r="F5" s="6">
        <v>0</v>
      </c>
      <c r="G5" s="6">
        <v>0</v>
      </c>
    </row>
    <row r="6" spans="1:7">
      <c r="A6" s="4" t="s">
        <v>382</v>
      </c>
      <c r="B6" s="5" t="s">
        <v>383</v>
      </c>
      <c r="C6" s="9" cm="1">
        <f t="array" ref="C6:G6">FN.SEEDROW(0, FCF!FCFE_base)</f>
        <v>0</v>
      </c>
      <c r="D6" s="9">
        <v>0</v>
      </c>
      <c r="E6" s="9">
        <v>0</v>
      </c>
      <c r="F6" s="9">
        <v>0</v>
      </c>
      <c r="G6" s="9">
        <v>0</v>
      </c>
    </row>
    <row r="7" spans="1:7">
      <c r="A7" s="4" t="s">
        <v>258</v>
      </c>
      <c r="B7" s="5" t="s">
        <v>259</v>
      </c>
      <c r="C7" s="9" cm="1">
        <f t="array" ref="C7:G7">FN.SPREAD(0, Model!Periods)</f>
        <v>0</v>
      </c>
      <c r="D7" s="9">
        <v>0</v>
      </c>
      <c r="E7" s="9">
        <v>0</v>
      </c>
      <c r="F7" s="9">
        <v>0</v>
      </c>
      <c r="G7" s="9">
        <v>0</v>
      </c>
    </row>
    <row r="8" spans="1:7">
      <c r="A8" s="4" t="s">
        <v>256</v>
      </c>
      <c r="B8" s="5" t="s">
        <v>257</v>
      </c>
      <c r="C8" s="9" cm="1">
        <f t="array" ref="C8:G8">IF(FCFE_base &gt;= 0, -FCFE_base * IN.RATE_base("dividends pct of FCFE"), 0)</f>
        <v>0</v>
      </c>
      <c r="D8" s="9">
        <v>0</v>
      </c>
      <c r="E8" s="9">
        <v>0</v>
      </c>
      <c r="F8" s="9">
        <v>0</v>
      </c>
      <c r="G8" s="9">
        <v>0</v>
      </c>
    </row>
    <row r="9" spans="1:7">
      <c r="A9" s="4" t="s">
        <v>390</v>
      </c>
      <c r="B9" s="5" t="s">
        <v>438</v>
      </c>
      <c r="C9" s="9" cm="1">
        <f t="array" ref="C9:G9">FN.SEEDROW(0, BS!DeltaMinimumOperatingCash_base)</f>
        <v>0</v>
      </c>
      <c r="D9" s="9">
        <v>0</v>
      </c>
      <c r="E9" s="9">
        <v>0</v>
      </c>
      <c r="F9" s="9">
        <v>0</v>
      </c>
      <c r="G9" s="9">
        <v>0</v>
      </c>
    </row>
    <row r="10" spans="1:7">
      <c r="A10" s="4" t="s">
        <v>439</v>
      </c>
      <c r="B10" s="5" t="s">
        <v>440</v>
      </c>
      <c r="C10" s="9" cm="1">
        <f t="array" ref="C10:G10">FCFE_base + SaleOrPurchaseOfStock_base + Dividends_base + ReAddChangeInOperatingCash_base</f>
        <v>0</v>
      </c>
      <c r="D10" s="9">
        <v>0</v>
      </c>
      <c r="E10" s="9">
        <v>0</v>
      </c>
      <c r="F10" s="9">
        <v>0</v>
      </c>
      <c r="G10" s="9">
        <v>0</v>
      </c>
    </row>
    <row r="11" spans="1:7">
      <c r="A11" s="4" t="s">
        <v>388</v>
      </c>
      <c r="B11" s="5" t="s">
        <v>441</v>
      </c>
      <c r="C11" s="9" cm="1">
        <f t="array" ref="C11:G11">FN.SEEDROW(0, NetCashInterest_base * (1 - IN.RATE_base("tax rate")))</f>
        <v>0</v>
      </c>
      <c r="D11" s="9">
        <v>0</v>
      </c>
      <c r="E11" s="9">
        <v>0</v>
      </c>
      <c r="F11" s="9">
        <v>0</v>
      </c>
      <c r="G11" s="9">
        <v>0</v>
      </c>
    </row>
    <row r="12" spans="1:7">
      <c r="A12" s="4" t="s">
        <v>392</v>
      </c>
      <c r="B12" s="5" t="s">
        <v>393</v>
      </c>
      <c r="C12" s="9" cm="1">
        <f t="array" ref="C12:G12">NCFBCI_base + AfterTaxCashInterest_base</f>
        <v>0</v>
      </c>
      <c r="D12" s="9">
        <v>0</v>
      </c>
      <c r="E12" s="9">
        <v>0</v>
      </c>
      <c r="F12" s="9">
        <v>0</v>
      </c>
      <c r="G12" s="9">
        <v>0</v>
      </c>
    </row>
    <row r="13" spans="1:7">
      <c r="A13" s="4" t="s">
        <v>442</v>
      </c>
      <c r="B13" s="5" t="s">
        <v>443</v>
      </c>
      <c r="C13" s="11" cm="1">
        <f t="array" ref="C13:G13">FN.SEEDREC(IN.ASMPT_base("initial total cash"), NCF_base, _xlfn.LAMBDA(_xlpm.prev, _xlpm.d, _xlpm.prev + _xlpm.d))</f>
        <v>0</v>
      </c>
      <c r="D13" s="11">
        <v>0</v>
      </c>
      <c r="E13" s="11">
        <v>0</v>
      </c>
      <c r="F13" s="11">
        <v>0</v>
      </c>
      <c r="G13" s="11">
        <v>0</v>
      </c>
    </row>
    <row r="14" spans="1:7">
      <c r="A14" s="4" t="s">
        <v>444</v>
      </c>
      <c r="B14" s="5" t="s">
        <v>445</v>
      </c>
      <c r="C14" s="9" cm="1">
        <f t="array" ref="C14:G14">NetCashPosition_base - BS!MinimumOperatingCash_base</f>
        <v>0</v>
      </c>
      <c r="D14" s="9">
        <v>0</v>
      </c>
      <c r="E14" s="9">
        <v>0</v>
      </c>
      <c r="F14" s="9">
        <v>0</v>
      </c>
      <c r="G14" s="9">
        <v>0</v>
      </c>
    </row>
    <row r="15" spans="1:7">
      <c r="A15" s="4" t="s">
        <v>247</v>
      </c>
      <c r="B15" s="5" t="s">
        <v>248</v>
      </c>
      <c r="C15" s="9" cm="1">
        <f t="array" ref="C15:G15">IF(DiscretionaryCash_base &gt; 0, DiscretionaryCash_base, 0)</f>
        <v>0</v>
      </c>
      <c r="D15" s="9">
        <v>0</v>
      </c>
      <c r="E15" s="9">
        <v>0</v>
      </c>
      <c r="F15" s="9">
        <v>0</v>
      </c>
      <c r="G15" s="9">
        <v>0</v>
      </c>
    </row>
    <row r="16" spans="1:7">
      <c r="A16" s="4" t="s">
        <v>253</v>
      </c>
      <c r="B16" s="5" t="s">
        <v>254</v>
      </c>
      <c r="C16" s="9" cm="1">
        <f t="array" ref="C16:G16">IF(DiscretionaryCash_base &lt; 0, -DiscretionaryCash_base, 0)</f>
        <v>0</v>
      </c>
      <c r="D16" s="9">
        <v>0</v>
      </c>
      <c r="E16" s="9">
        <v>0</v>
      </c>
      <c r="F16" s="9">
        <v>0</v>
      </c>
      <c r="G16" s="9">
        <v>0</v>
      </c>
    </row>
    <row r="17" spans="1:7">
      <c r="A17" s="4" t="s">
        <v>446</v>
      </c>
      <c r="B17" s="5" t="s">
        <v>447</v>
      </c>
      <c r="C17" s="9" cm="1">
        <f t="array" ref="C17:G17">FN.SEEDROW(0, FN.PREV(DiscretionaryCash_base))</f>
        <v>0</v>
      </c>
      <c r="D17" s="9">
        <v>0</v>
      </c>
      <c r="E17" s="9">
        <v>0</v>
      </c>
      <c r="F17" s="9">
        <v>0</v>
      </c>
      <c r="G17" s="9">
        <v>0</v>
      </c>
    </row>
    <row r="18" spans="1:7">
      <c r="A18" s="4" t="s">
        <v>448</v>
      </c>
      <c r="B18" s="5" t="s">
        <v>449</v>
      </c>
      <c r="C18" s="9" cm="1">
        <f t="array" ref="C18:G18">FN.SEEDROW(0, FN.PREV(ExcessCash_base))</f>
        <v>0</v>
      </c>
      <c r="D18" s="9">
        <v>0</v>
      </c>
      <c r="E18" s="9">
        <v>0</v>
      </c>
      <c r="F18" s="9">
        <v>0</v>
      </c>
      <c r="G18" s="9">
        <v>0</v>
      </c>
    </row>
    <row r="19" spans="1:7">
      <c r="A19" s="4" t="s">
        <v>450</v>
      </c>
      <c r="B19" s="5" t="s">
        <v>451</v>
      </c>
      <c r="C19" s="9" cm="1">
        <f t="array" ref="C19:G19">FN.SEEDROW(0, FN.PREV(BankOverdraft_base))</f>
        <v>0</v>
      </c>
      <c r="D19" s="9">
        <v>0</v>
      </c>
      <c r="E19" s="9">
        <v>0</v>
      </c>
      <c r="F19" s="9">
        <v>0</v>
      </c>
      <c r="G19" s="9">
        <v>0</v>
      </c>
    </row>
    <row r="20" spans="1:7">
      <c r="A20" s="4" t="s">
        <v>452</v>
      </c>
      <c r="B20" s="5" t="s">
        <v>453</v>
      </c>
      <c r="C20" s="9" cm="1">
        <f t="array" ref="C20:G20">FN.SEEDROW(0, ExcessPrev_base + ExcessCash_base + OverdraftPrev_base + BankOverdraft_base)</f>
        <v>0</v>
      </c>
      <c r="D20" s="9">
        <v>0</v>
      </c>
      <c r="E20" s="9">
        <v>0</v>
      </c>
      <c r="F20" s="9">
        <v>0</v>
      </c>
      <c r="G20" s="9">
        <v>0</v>
      </c>
    </row>
    <row r="21" spans="1:7">
      <c r="A21" s="4" t="s">
        <v>454</v>
      </c>
      <c r="B21" s="5" t="s">
        <v>455</v>
      </c>
      <c r="C21" s="9" cm="1">
        <f t="array" ref="C21:G21">FN.SEEDROW(0, FN.AVGPART(ExcessPrev_base, ExcessCash_base, Swing_base))</f>
        <v>0</v>
      </c>
      <c r="D21" s="9">
        <v>0</v>
      </c>
      <c r="E21" s="9">
        <v>0</v>
      </c>
      <c r="F21" s="9">
        <v>0</v>
      </c>
      <c r="G21" s="9">
        <v>0</v>
      </c>
    </row>
    <row r="22" spans="1:7">
      <c r="A22" s="4" t="s">
        <v>456</v>
      </c>
      <c r="B22" s="5" t="s">
        <v>457</v>
      </c>
      <c r="C22" s="9" cm="1">
        <f t="array" ref="C22:G22">FN.SEEDROW(0, FN.AVGPART(OverdraftPrev_base, BankOverdraft_base, Swing_base))</f>
        <v>0</v>
      </c>
      <c r="D22" s="9">
        <v>0</v>
      </c>
      <c r="E22" s="9">
        <v>0</v>
      </c>
      <c r="F22" s="9">
        <v>0</v>
      </c>
      <c r="G22" s="9">
        <v>0</v>
      </c>
    </row>
    <row r="23" spans="1:7">
      <c r="A23" s="4" t="s">
        <v>458</v>
      </c>
      <c r="B23" s="5" t="s">
        <v>459</v>
      </c>
      <c r="C23" s="9" cm="1">
        <f t="array" ref="C23:G23">FN.SEEDROW(0, IS!InterestIncomeOnExcessCash_base)</f>
        <v>0</v>
      </c>
      <c r="D23" s="9">
        <v>0</v>
      </c>
      <c r="E23" s="9">
        <v>0</v>
      </c>
      <c r="F23" s="9">
        <v>0</v>
      </c>
      <c r="G23" s="9">
        <v>0</v>
      </c>
    </row>
    <row r="24" spans="1:7">
      <c r="A24" s="4" t="s">
        <v>460</v>
      </c>
      <c r="B24" s="5" t="s">
        <v>461</v>
      </c>
      <c r="C24" s="9" cm="1">
        <f t="array" ref="C24:G24">FN.SEEDROW(0, -IS!InterestExpenseOnBankOverdraft_base)</f>
        <v>0</v>
      </c>
      <c r="D24" s="9">
        <v>0</v>
      </c>
      <c r="E24" s="9">
        <v>0</v>
      </c>
      <c r="F24" s="9">
        <v>0</v>
      </c>
      <c r="G24" s="9">
        <v>0</v>
      </c>
    </row>
    <row r="25" spans="1:7">
      <c r="A25" s="4" t="s">
        <v>462</v>
      </c>
      <c r="B25" s="5" t="s">
        <v>463</v>
      </c>
      <c r="C25" s="9" cm="1">
        <f t="array" ref="C25:G25">FN.SEEDROW(0, CashInterestIncome_base - OverdraftInterestExpense_base)</f>
        <v>0</v>
      </c>
      <c r="D25" s="9">
        <v>0</v>
      </c>
      <c r="E25" s="9">
        <v>0</v>
      </c>
      <c r="F25" s="9">
        <v>0</v>
      </c>
      <c r="G25" s="9">
        <v>0</v>
      </c>
    </row>
    <row r="26" spans="1:7">
      <c r="A26" s="4" t="s">
        <v>464</v>
      </c>
      <c r="B26" s="5" t="s">
        <v>465</v>
      </c>
      <c r="C26" s="9" cm="1">
        <f t="array" ref="C26:G26">IF(BankOverdraft_base &gt; 0, 1, 0)</f>
        <v>0</v>
      </c>
      <c r="D26" s="9">
        <v>0</v>
      </c>
      <c r="E26" s="9">
        <v>0</v>
      </c>
      <c r="F26" s="9">
        <v>0</v>
      </c>
      <c r="G26" s="9">
        <v>0</v>
      </c>
    </row>
    <row r="27" spans="1:7">
      <c r="A27" s="4" t="s">
        <v>466</v>
      </c>
      <c r="B27" s="5" t="s">
        <v>467</v>
      </c>
      <c r="C27" s="9" cm="1">
        <f t="array" ref="C27:G27">BS!DeltaAccountsReceivable_base + BS!DeltaRawMaterials_base + BS!DeltaFinishedGoods_base + BS!DeltaOtherAccountsPayable_base + BS!DeltaWagesPayable_base</f>
        <v>0</v>
      </c>
      <c r="D27" s="9">
        <v>0</v>
      </c>
      <c r="E27" s="9">
        <v>0</v>
      </c>
      <c r="F27" s="9">
        <v>0</v>
      </c>
      <c r="G27" s="9">
        <v>0</v>
      </c>
    </row>
    <row r="28" spans="1:7">
      <c r="A28" s="4" t="s">
        <v>468</v>
      </c>
      <c r="B28" s="5" t="s">
        <v>469</v>
      </c>
      <c r="C28" s="9" cm="1">
        <f t="array" ref="C28:G28">FN.SEEDROW(0, (IS!NetIncome_base - (TotalNonCashNWCChange_base + BS!DeltaNetFixedAssets_base)) + BS!DeltaFinancialDebt_base + Dividends_base + SaleOrPurchaseOfStock_base)</f>
        <v>0</v>
      </c>
      <c r="D28" s="9">
        <v>0</v>
      </c>
      <c r="E28" s="9">
        <v>0</v>
      </c>
      <c r="F28" s="9">
        <v>0</v>
      </c>
      <c r="G28" s="9">
        <v>0</v>
      </c>
    </row>
    <row r="29" spans="1:7">
      <c r="A29" s="4" t="s">
        <v>470</v>
      </c>
      <c r="B29" s="5" t="s">
        <v>471</v>
      </c>
      <c r="C29" s="8" cm="1">
        <f t="array" ref="C29:G29">FN.SEEDROW(0, NCF_base - NCFViaIncomeAndBSDelta_base)</f>
        <v>0</v>
      </c>
      <c r="D29" s="8">
        <v>0</v>
      </c>
      <c r="E29" s="8">
        <v>0</v>
      </c>
      <c r="F29" s="8">
        <v>0</v>
      </c>
      <c r="G29" s="8">
        <v>0</v>
      </c>
    </row>
    <row r="30" spans="1:7">
      <c r="A30" s="4" t="s">
        <v>472</v>
      </c>
      <c r="B30" s="5" t="s">
        <v>473</v>
      </c>
      <c r="C30" s="9" cm="1">
        <f t="array" ref="C30:G30">FN.SEEDROW(0, (BS!DeltaMinimumOperatingCash_base + (ExcessCash_base - FN.PREV(ExcessCash_base))) - (BankOverdraft_base - FN.PREV(BankOverdraft_base)))</f>
        <v>0</v>
      </c>
      <c r="D30" s="9">
        <v>0</v>
      </c>
      <c r="E30" s="9">
        <v>0</v>
      </c>
      <c r="F30" s="9">
        <v>0</v>
      </c>
      <c r="G30" s="9">
        <v>0</v>
      </c>
    </row>
    <row r="31" spans="1:7">
      <c r="A31" s="4" t="s">
        <v>474</v>
      </c>
      <c r="B31" s="5" t="s">
        <v>475</v>
      </c>
      <c r="C31" s="8" cm="1">
        <f t="array" ref="C31:G31">FN.SEEDROW(0, NCF_base - NCFViaCashDecomposition_base)</f>
        <v>0</v>
      </c>
      <c r="D31" s="8">
        <v>0</v>
      </c>
      <c r="E31" s="8">
        <v>0</v>
      </c>
      <c r="F31" s="8">
        <v>0</v>
      </c>
      <c r="G31" s="8">
        <v>0</v>
      </c>
    </row>
    <row r="32" spans="1:7">
      <c r="A32" s="4" t="s">
        <v>476</v>
      </c>
      <c r="B32" s="5" t="s">
        <v>477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</row>
    <row r="33" spans="1:7">
      <c r="A33" s="4" t="s">
        <v>478</v>
      </c>
      <c r="B33" s="5" t="s">
        <v>479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</row>
    <row r="34" spans="1:7">
      <c r="A34" s="4" t="s">
        <v>480</v>
      </c>
      <c r="B34" s="5" t="s">
        <v>481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</row>
    <row r="35" spans="1:7">
      <c r="A35" s="4" t="s">
        <v>482</v>
      </c>
      <c r="B35" s="5" t="s">
        <v>483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</row>
    <row r="36" spans="1:7">
      <c r="A36" s="4" t="s">
        <v>484</v>
      </c>
      <c r="B36" s="5" t="s">
        <v>485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</row>
    <row r="37" spans="1:7">
      <c r="A37" s="4" t="s">
        <v>486</v>
      </c>
      <c r="B37" s="5" t="s">
        <v>487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</row>
    <row r="40" spans="1:7">
      <c r="A40" s="3" t="s">
        <v>101</v>
      </c>
      <c r="B40" s="3" t="s">
        <v>54</v>
      </c>
      <c r="C40" s="6" cm="1">
        <f t="array" ref="C40:G40">Model!Years</f>
        <v>0</v>
      </c>
      <c r="D40" s="6">
        <v>0</v>
      </c>
      <c r="E40" s="6">
        <v>0</v>
      </c>
      <c r="F40" s="6">
        <v>0</v>
      </c>
      <c r="G40" s="6">
        <v>0</v>
      </c>
    </row>
    <row r="41" spans="1:7">
      <c r="A41" s="4" t="s">
        <v>382</v>
      </c>
      <c r="B41" s="5" t="s">
        <v>402</v>
      </c>
      <c r="C41" s="9" cm="1">
        <f t="array" ref="C41:G41">FN.SEEDROW(0, FCF!FCFE_payout)</f>
        <v>0</v>
      </c>
      <c r="D41" s="9">
        <v>0</v>
      </c>
      <c r="E41" s="9">
        <v>0</v>
      </c>
      <c r="F41" s="9">
        <v>0</v>
      </c>
      <c r="G41" s="9">
        <v>0</v>
      </c>
    </row>
    <row r="42" spans="1:7">
      <c r="A42" s="4" t="s">
        <v>258</v>
      </c>
      <c r="B42" s="5" t="s">
        <v>292</v>
      </c>
      <c r="C42" s="9" cm="1">
        <f t="array" ref="C42:G42">FN.SPREAD(0, Model!Periods)</f>
        <v>0</v>
      </c>
      <c r="D42" s="9">
        <v>0</v>
      </c>
      <c r="E42" s="9">
        <v>0</v>
      </c>
      <c r="F42" s="9">
        <v>0</v>
      </c>
      <c r="G42" s="9">
        <v>0</v>
      </c>
    </row>
    <row r="43" spans="1:7">
      <c r="A43" s="4" t="s">
        <v>256</v>
      </c>
      <c r="B43" s="5" t="s">
        <v>291</v>
      </c>
      <c r="C43" s="9" cm="1">
        <f t="array" ref="C43:G43">IF(FCFE_payout &gt;= 0, -FCFE_payout * IN.RATE_payout("dividends pct of FCFE"), 0)</f>
        <v>0</v>
      </c>
      <c r="D43" s="9">
        <v>0</v>
      </c>
      <c r="E43" s="9">
        <v>0</v>
      </c>
      <c r="F43" s="9">
        <v>0</v>
      </c>
      <c r="G43" s="9">
        <v>0</v>
      </c>
    </row>
    <row r="44" spans="1:7">
      <c r="A44" s="4" t="s">
        <v>390</v>
      </c>
      <c r="B44" s="5" t="s">
        <v>488</v>
      </c>
      <c r="C44" s="9" cm="1">
        <f t="array" ref="C44:G44">FN.SEEDROW(0, BS!DeltaMinimumOperatingCash_payout)</f>
        <v>0</v>
      </c>
      <c r="D44" s="9">
        <v>0</v>
      </c>
      <c r="E44" s="9">
        <v>0</v>
      </c>
      <c r="F44" s="9">
        <v>0</v>
      </c>
      <c r="G44" s="9">
        <v>0</v>
      </c>
    </row>
    <row r="45" spans="1:7">
      <c r="A45" s="4" t="s">
        <v>439</v>
      </c>
      <c r="B45" s="5" t="s">
        <v>489</v>
      </c>
      <c r="C45" s="9" cm="1">
        <f t="array" ref="C45:G45">FCFE_payout + SaleOrPurchaseOfStock_payout + Dividends_payout + ReAddChangeInOperatingCash_payout</f>
        <v>0</v>
      </c>
      <c r="D45" s="9">
        <v>0</v>
      </c>
      <c r="E45" s="9">
        <v>0</v>
      </c>
      <c r="F45" s="9">
        <v>0</v>
      </c>
      <c r="G45" s="9">
        <v>0</v>
      </c>
    </row>
    <row r="46" spans="1:7">
      <c r="A46" s="4" t="s">
        <v>388</v>
      </c>
      <c r="B46" s="5" t="s">
        <v>490</v>
      </c>
      <c r="C46" s="9" cm="1">
        <f t="array" ref="C46:G46">FN.SEEDROW(0, NetCashInterest_payout * (1 - IN.RATE_payout("tax rate")))</f>
        <v>0</v>
      </c>
      <c r="D46" s="9">
        <v>0</v>
      </c>
      <c r="E46" s="9">
        <v>0</v>
      </c>
      <c r="F46" s="9">
        <v>0</v>
      </c>
      <c r="G46" s="9">
        <v>0</v>
      </c>
    </row>
    <row r="47" spans="1:7">
      <c r="A47" s="4" t="s">
        <v>392</v>
      </c>
      <c r="B47" s="5" t="s">
        <v>407</v>
      </c>
      <c r="C47" s="9" cm="1">
        <f t="array" ref="C47:G47">NCFBCI_payout + AfterTaxCashInterest_payout</f>
        <v>0</v>
      </c>
      <c r="D47" s="9">
        <v>0</v>
      </c>
      <c r="E47" s="9">
        <v>0</v>
      </c>
      <c r="F47" s="9">
        <v>0</v>
      </c>
      <c r="G47" s="9">
        <v>0</v>
      </c>
    </row>
    <row r="48" spans="1:7">
      <c r="A48" s="4" t="s">
        <v>442</v>
      </c>
      <c r="B48" s="5" t="s">
        <v>491</v>
      </c>
      <c r="C48" s="11" cm="1">
        <f t="array" ref="C48:G48">FN.SEEDREC(IN.ASMPT_payout("initial total cash"), NCF_payout, _xlfn.LAMBDA(_xlpm.prev, _xlpm.d, _xlpm.prev + _xlpm.d))</f>
        <v>0</v>
      </c>
      <c r="D48" s="11">
        <v>0</v>
      </c>
      <c r="E48" s="11">
        <v>0</v>
      </c>
      <c r="F48" s="11">
        <v>0</v>
      </c>
      <c r="G48" s="11">
        <v>0</v>
      </c>
    </row>
    <row r="49" spans="1:7">
      <c r="A49" s="4" t="s">
        <v>444</v>
      </c>
      <c r="B49" s="5" t="s">
        <v>492</v>
      </c>
      <c r="C49" s="9" cm="1">
        <f t="array" ref="C49:G49">NetCashPosition_payout - BS!MinimumOperatingCash_payout</f>
        <v>0</v>
      </c>
      <c r="D49" s="9">
        <v>0</v>
      </c>
      <c r="E49" s="9">
        <v>0</v>
      </c>
      <c r="F49" s="9">
        <v>0</v>
      </c>
      <c r="G49" s="9">
        <v>0</v>
      </c>
    </row>
    <row r="50" spans="1:7">
      <c r="A50" s="4" t="s">
        <v>247</v>
      </c>
      <c r="B50" s="5" t="s">
        <v>287</v>
      </c>
      <c r="C50" s="9" cm="1">
        <f t="array" ref="C50:G50">IF(DiscretionaryCash_payout &gt; 0, DiscretionaryCash_payout, 0)</f>
        <v>0</v>
      </c>
      <c r="D50" s="9">
        <v>0</v>
      </c>
      <c r="E50" s="9">
        <v>0</v>
      </c>
      <c r="F50" s="9">
        <v>0</v>
      </c>
      <c r="G50" s="9">
        <v>0</v>
      </c>
    </row>
    <row r="51" spans="1:7">
      <c r="A51" s="4" t="s">
        <v>253</v>
      </c>
      <c r="B51" s="5" t="s">
        <v>290</v>
      </c>
      <c r="C51" s="9" cm="1">
        <f t="array" ref="C51:G51">IF(DiscretionaryCash_payout &lt; 0, -DiscretionaryCash_payout, 0)</f>
        <v>0</v>
      </c>
      <c r="D51" s="9">
        <v>0</v>
      </c>
      <c r="E51" s="9">
        <v>0</v>
      </c>
      <c r="F51" s="9">
        <v>0</v>
      </c>
      <c r="G51" s="9">
        <v>0</v>
      </c>
    </row>
    <row r="52" spans="1:7">
      <c r="A52" s="4" t="s">
        <v>446</v>
      </c>
      <c r="B52" s="5" t="s">
        <v>493</v>
      </c>
      <c r="C52" s="9" cm="1">
        <f t="array" ref="C52:G52">FN.SEEDROW(0, FN.PREV(DiscretionaryCash_payout))</f>
        <v>0</v>
      </c>
      <c r="D52" s="9">
        <v>0</v>
      </c>
      <c r="E52" s="9">
        <v>0</v>
      </c>
      <c r="F52" s="9">
        <v>0</v>
      </c>
      <c r="G52" s="9">
        <v>0</v>
      </c>
    </row>
    <row r="53" spans="1:7">
      <c r="A53" s="4" t="s">
        <v>448</v>
      </c>
      <c r="B53" s="5" t="s">
        <v>494</v>
      </c>
      <c r="C53" s="9" cm="1">
        <f t="array" ref="C53:G53">FN.SEEDROW(0, FN.PREV(ExcessCash_payout))</f>
        <v>0</v>
      </c>
      <c r="D53" s="9">
        <v>0</v>
      </c>
      <c r="E53" s="9">
        <v>0</v>
      </c>
      <c r="F53" s="9">
        <v>0</v>
      </c>
      <c r="G53" s="9">
        <v>0</v>
      </c>
    </row>
    <row r="54" spans="1:7">
      <c r="A54" s="4" t="s">
        <v>450</v>
      </c>
      <c r="B54" s="5" t="s">
        <v>495</v>
      </c>
      <c r="C54" s="9" cm="1">
        <f t="array" ref="C54:G54">FN.SEEDROW(0, FN.PREV(BankOverdraft_payout))</f>
        <v>0</v>
      </c>
      <c r="D54" s="9">
        <v>0</v>
      </c>
      <c r="E54" s="9">
        <v>0</v>
      </c>
      <c r="F54" s="9">
        <v>0</v>
      </c>
      <c r="G54" s="9">
        <v>0</v>
      </c>
    </row>
    <row r="55" spans="1:7">
      <c r="A55" s="4" t="s">
        <v>452</v>
      </c>
      <c r="B55" s="5" t="s">
        <v>496</v>
      </c>
      <c r="C55" s="9" cm="1">
        <f t="array" ref="C55:G55">FN.SEEDROW(0, ExcessPrev_payout + ExcessCash_payout + OverdraftPrev_payout + BankOverdraft_payout)</f>
        <v>0</v>
      </c>
      <c r="D55" s="9">
        <v>0</v>
      </c>
      <c r="E55" s="9">
        <v>0</v>
      </c>
      <c r="F55" s="9">
        <v>0</v>
      </c>
      <c r="G55" s="9">
        <v>0</v>
      </c>
    </row>
    <row r="56" spans="1:7">
      <c r="A56" s="4" t="s">
        <v>454</v>
      </c>
      <c r="B56" s="5" t="s">
        <v>497</v>
      </c>
      <c r="C56" s="9" cm="1">
        <f t="array" ref="C56:G56">FN.SEEDROW(0, FN.AVGPART(ExcessPrev_payout, ExcessCash_payout, Swing_payout))</f>
        <v>0</v>
      </c>
      <c r="D56" s="9">
        <v>0</v>
      </c>
      <c r="E56" s="9">
        <v>0</v>
      </c>
      <c r="F56" s="9">
        <v>0</v>
      </c>
      <c r="G56" s="9">
        <v>0</v>
      </c>
    </row>
    <row r="57" spans="1:7">
      <c r="A57" s="4" t="s">
        <v>456</v>
      </c>
      <c r="B57" s="5" t="s">
        <v>498</v>
      </c>
      <c r="C57" s="9" cm="1">
        <f t="array" ref="C57:G57">FN.SEEDROW(0, FN.AVGPART(OverdraftPrev_payout, BankOverdraft_payout, Swing_payout))</f>
        <v>0</v>
      </c>
      <c r="D57" s="9">
        <v>0</v>
      </c>
      <c r="E57" s="9">
        <v>0</v>
      </c>
      <c r="F57" s="9">
        <v>0</v>
      </c>
      <c r="G57" s="9">
        <v>0</v>
      </c>
    </row>
    <row r="58" spans="1:7">
      <c r="A58" s="4" t="s">
        <v>458</v>
      </c>
      <c r="B58" s="5" t="s">
        <v>499</v>
      </c>
      <c r="C58" s="9" cm="1">
        <f t="array" ref="C58:G58">FN.SEEDROW(0, IS!InterestIncomeOnExcessCash_payout)</f>
        <v>0</v>
      </c>
      <c r="D58" s="9">
        <v>0</v>
      </c>
      <c r="E58" s="9">
        <v>0</v>
      </c>
      <c r="F58" s="9">
        <v>0</v>
      </c>
      <c r="G58" s="9">
        <v>0</v>
      </c>
    </row>
    <row r="59" spans="1:7">
      <c r="A59" s="4" t="s">
        <v>460</v>
      </c>
      <c r="B59" s="5" t="s">
        <v>500</v>
      </c>
      <c r="C59" s="9" cm="1">
        <f t="array" ref="C59:G59">FN.SEEDROW(0, -IS!InterestExpenseOnBankOverdraft_payout)</f>
        <v>0</v>
      </c>
      <c r="D59" s="9">
        <v>0</v>
      </c>
      <c r="E59" s="9">
        <v>0</v>
      </c>
      <c r="F59" s="9">
        <v>0</v>
      </c>
      <c r="G59" s="9">
        <v>0</v>
      </c>
    </row>
    <row r="60" spans="1:7">
      <c r="A60" s="4" t="s">
        <v>462</v>
      </c>
      <c r="B60" s="5" t="s">
        <v>501</v>
      </c>
      <c r="C60" s="9" cm="1">
        <f t="array" ref="C60:G60">FN.SEEDROW(0, CashInterestIncome_payout - OverdraftInterestExpense_payout)</f>
        <v>0</v>
      </c>
      <c r="D60" s="9">
        <v>0</v>
      </c>
      <c r="E60" s="9">
        <v>0</v>
      </c>
      <c r="F60" s="9">
        <v>0</v>
      </c>
      <c r="G60" s="9">
        <v>0</v>
      </c>
    </row>
    <row r="61" spans="1:7">
      <c r="A61" s="4" t="s">
        <v>464</v>
      </c>
      <c r="B61" s="5" t="s">
        <v>502</v>
      </c>
      <c r="C61" s="9" cm="1">
        <f t="array" ref="C61:G61">IF(BankOverdraft_payout &gt; 0, 1, 0)</f>
        <v>0</v>
      </c>
      <c r="D61" s="9">
        <v>0</v>
      </c>
      <c r="E61" s="9">
        <v>0</v>
      </c>
      <c r="F61" s="9">
        <v>0</v>
      </c>
      <c r="G61" s="9">
        <v>0</v>
      </c>
    </row>
    <row r="62" spans="1:7">
      <c r="A62" s="4" t="s">
        <v>466</v>
      </c>
      <c r="B62" s="5" t="s">
        <v>503</v>
      </c>
      <c r="C62" s="9" cm="1">
        <f t="array" ref="C62:G62">BS!DeltaAccountsReceivable_payout + BS!DeltaRawMaterials_payout + BS!DeltaFinishedGoods_payout + BS!DeltaOtherAccountsPayable_payout + BS!DeltaWagesPayable_payout</f>
        <v>0</v>
      </c>
      <c r="D62" s="9">
        <v>0</v>
      </c>
      <c r="E62" s="9">
        <v>0</v>
      </c>
      <c r="F62" s="9">
        <v>0</v>
      </c>
      <c r="G62" s="9">
        <v>0</v>
      </c>
    </row>
    <row r="63" spans="1:7">
      <c r="A63" s="4" t="s">
        <v>468</v>
      </c>
      <c r="B63" s="5" t="s">
        <v>504</v>
      </c>
      <c r="C63" s="9" cm="1">
        <f t="array" ref="C63:G63">FN.SEEDROW(0, (IS!NetIncome_payout - (TotalNonCashNWCChange_payout + BS!DeltaNetFixedAssets_payout)) + BS!DeltaFinancialDebt_payout + Dividends_payout + SaleOrPurchaseOfStock_payout)</f>
        <v>0</v>
      </c>
      <c r="D63" s="9">
        <v>0</v>
      </c>
      <c r="E63" s="9">
        <v>0</v>
      </c>
      <c r="F63" s="9">
        <v>0</v>
      </c>
      <c r="G63" s="9">
        <v>0</v>
      </c>
    </row>
    <row r="64" spans="1:7">
      <c r="A64" s="4" t="s">
        <v>470</v>
      </c>
      <c r="B64" s="5" t="s">
        <v>505</v>
      </c>
      <c r="C64" s="8" cm="1">
        <f t="array" ref="C64:G64">FN.SEEDROW(0, NCF_payout - NCFViaIncomeAndBSDelta_payout)</f>
        <v>0</v>
      </c>
      <c r="D64" s="8">
        <v>0</v>
      </c>
      <c r="E64" s="8">
        <v>0</v>
      </c>
      <c r="F64" s="8">
        <v>0</v>
      </c>
      <c r="G64" s="8">
        <v>0</v>
      </c>
    </row>
    <row r="65" spans="1:7">
      <c r="A65" s="4" t="s">
        <v>472</v>
      </c>
      <c r="B65" s="5" t="s">
        <v>506</v>
      </c>
      <c r="C65" s="9" cm="1">
        <f t="array" ref="C65:G65">FN.SEEDROW(0, (BS!DeltaMinimumOperatingCash_payout + (ExcessCash_payout - FN.PREV(ExcessCash_payout))) - (BankOverdraft_payout - FN.PREV(BankOverdraft_payout)))</f>
        <v>0</v>
      </c>
      <c r="D65" s="9">
        <v>0</v>
      </c>
      <c r="E65" s="9">
        <v>0</v>
      </c>
      <c r="F65" s="9">
        <v>0</v>
      </c>
      <c r="G65" s="9">
        <v>0</v>
      </c>
    </row>
    <row r="66" spans="1:7">
      <c r="A66" s="4" t="s">
        <v>474</v>
      </c>
      <c r="B66" s="5" t="s">
        <v>507</v>
      </c>
      <c r="C66" s="8" cm="1">
        <f t="array" ref="C66:G66">FN.SEEDROW(0, NCF_payout - NCFViaCashDecomposition_payout)</f>
        <v>0</v>
      </c>
      <c r="D66" s="8">
        <v>0</v>
      </c>
      <c r="E66" s="8">
        <v>0</v>
      </c>
      <c r="F66" s="8">
        <v>0</v>
      </c>
      <c r="G66" s="8">
        <v>0</v>
      </c>
    </row>
    <row r="67" spans="1:7">
      <c r="A67" s="4" t="s">
        <v>476</v>
      </c>
      <c r="B67" s="5" t="s">
        <v>508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</row>
    <row r="68" spans="1:7">
      <c r="A68" s="4" t="s">
        <v>478</v>
      </c>
      <c r="B68" s="5" t="s">
        <v>509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</row>
    <row r="69" spans="1:7">
      <c r="A69" s="4" t="s">
        <v>480</v>
      </c>
      <c r="B69" s="5" t="s">
        <v>510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</row>
    <row r="70" spans="1:7">
      <c r="A70" s="4" t="s">
        <v>482</v>
      </c>
      <c r="B70" s="5" t="s">
        <v>511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</row>
    <row r="71" spans="1:7">
      <c r="A71" s="4" t="s">
        <v>484</v>
      </c>
      <c r="B71" s="5" t="s">
        <v>512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</row>
    <row r="72" spans="1:7">
      <c r="A72" s="4" t="s">
        <v>486</v>
      </c>
      <c r="B72" s="5" t="s">
        <v>513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</row>
    <row r="75" spans="1:7">
      <c r="A75" s="3" t="s">
        <v>108</v>
      </c>
      <c r="B75" s="3" t="s">
        <v>54</v>
      </c>
      <c r="C75" s="6" cm="1">
        <f t="array" ref="C75:G75">Model!Years</f>
        <v>0</v>
      </c>
      <c r="D75" s="6">
        <v>0</v>
      </c>
      <c r="E75" s="6">
        <v>0</v>
      </c>
      <c r="F75" s="6">
        <v>0</v>
      </c>
      <c r="G75" s="6">
        <v>0</v>
      </c>
    </row>
    <row r="76" spans="1:7">
      <c r="A76" s="4" t="s">
        <v>382</v>
      </c>
      <c r="B76" s="5" t="s">
        <v>416</v>
      </c>
      <c r="C76" s="9" cm="1">
        <f t="array" ref="C76:G76">FN.SEEDROW(0, FCF!FCFE_deleverage)</f>
        <v>0</v>
      </c>
      <c r="D76" s="9">
        <v>0</v>
      </c>
      <c r="E76" s="9">
        <v>0</v>
      </c>
      <c r="F76" s="9">
        <v>0</v>
      </c>
      <c r="G76" s="9">
        <v>0</v>
      </c>
    </row>
    <row r="77" spans="1:7">
      <c r="A77" s="4" t="s">
        <v>258</v>
      </c>
      <c r="B77" s="5" t="s">
        <v>321</v>
      </c>
      <c r="C77" s="9" cm="1">
        <f t="array" ref="C77:G77">FN.SPREAD(0, Model!Periods)</f>
        <v>0</v>
      </c>
      <c r="D77" s="9">
        <v>0</v>
      </c>
      <c r="E77" s="9">
        <v>0</v>
      </c>
      <c r="F77" s="9">
        <v>0</v>
      </c>
      <c r="G77" s="9">
        <v>0</v>
      </c>
    </row>
    <row r="78" spans="1:7">
      <c r="A78" s="4" t="s">
        <v>256</v>
      </c>
      <c r="B78" s="5" t="s">
        <v>320</v>
      </c>
      <c r="C78" s="9" cm="1">
        <f t="array" ref="C78:G78">IF(FCFE_deleverage &gt;= 0, -FCFE_deleverage * IN.RATE_deleverage("dividends pct of FCFE"), 0)</f>
        <v>0</v>
      </c>
      <c r="D78" s="9">
        <v>0</v>
      </c>
      <c r="E78" s="9">
        <v>0</v>
      </c>
      <c r="F78" s="9">
        <v>0</v>
      </c>
      <c r="G78" s="9">
        <v>0</v>
      </c>
    </row>
    <row r="79" spans="1:7">
      <c r="A79" s="4" t="s">
        <v>390</v>
      </c>
      <c r="B79" s="5" t="s">
        <v>514</v>
      </c>
      <c r="C79" s="9" cm="1">
        <f t="array" ref="C79:G79">FN.SEEDROW(0, BS!DeltaMinimumOperatingCash_deleverage)</f>
        <v>0</v>
      </c>
      <c r="D79" s="9">
        <v>0</v>
      </c>
      <c r="E79" s="9">
        <v>0</v>
      </c>
      <c r="F79" s="9">
        <v>0</v>
      </c>
      <c r="G79" s="9">
        <v>0</v>
      </c>
    </row>
    <row r="80" spans="1:7">
      <c r="A80" s="4" t="s">
        <v>439</v>
      </c>
      <c r="B80" s="5" t="s">
        <v>515</v>
      </c>
      <c r="C80" s="9" cm="1">
        <f t="array" ref="C80:G80">FCFE_deleverage + SaleOrPurchaseOfStock_deleverage + Dividends_deleverage + ReAddChangeInOperatingCash_deleverage</f>
        <v>0</v>
      </c>
      <c r="D80" s="9">
        <v>0</v>
      </c>
      <c r="E80" s="9">
        <v>0</v>
      </c>
      <c r="F80" s="9">
        <v>0</v>
      </c>
      <c r="G80" s="9">
        <v>0</v>
      </c>
    </row>
    <row r="81" spans="1:7">
      <c r="A81" s="4" t="s">
        <v>388</v>
      </c>
      <c r="B81" s="5" t="s">
        <v>516</v>
      </c>
      <c r="C81" s="9" cm="1">
        <f t="array" ref="C81:G81">FN.SEEDROW(0, NetCashInterest_deleverage * (1 - IN.RATE_deleverage("tax rate")))</f>
        <v>0</v>
      </c>
      <c r="D81" s="9">
        <v>0</v>
      </c>
      <c r="E81" s="9">
        <v>0</v>
      </c>
      <c r="F81" s="9">
        <v>0</v>
      </c>
      <c r="G81" s="9">
        <v>0</v>
      </c>
    </row>
    <row r="82" spans="1:7">
      <c r="A82" s="4" t="s">
        <v>392</v>
      </c>
      <c r="B82" s="5" t="s">
        <v>421</v>
      </c>
      <c r="C82" s="9" cm="1">
        <f t="array" ref="C82:G82">NCFBCI_deleverage + AfterTaxCashInterest_deleverage</f>
        <v>0</v>
      </c>
      <c r="D82" s="9">
        <v>0</v>
      </c>
      <c r="E82" s="9">
        <v>0</v>
      </c>
      <c r="F82" s="9">
        <v>0</v>
      </c>
      <c r="G82" s="9">
        <v>0</v>
      </c>
    </row>
    <row r="83" spans="1:7">
      <c r="A83" s="4" t="s">
        <v>442</v>
      </c>
      <c r="B83" s="5" t="s">
        <v>517</v>
      </c>
      <c r="C83" s="11" cm="1">
        <f t="array" ref="C83:G83">FN.SEEDREC(IN.ASMPT_deleverage("initial total cash"), NCF_deleverage, _xlfn.LAMBDA(_xlpm.prev, _xlpm.d, _xlpm.prev + _xlpm.d))</f>
        <v>0</v>
      </c>
      <c r="D83" s="11">
        <v>0</v>
      </c>
      <c r="E83" s="11">
        <v>0</v>
      </c>
      <c r="F83" s="11">
        <v>0</v>
      </c>
      <c r="G83" s="11">
        <v>0</v>
      </c>
    </row>
    <row r="84" spans="1:7">
      <c r="A84" s="4" t="s">
        <v>444</v>
      </c>
      <c r="B84" s="5" t="s">
        <v>518</v>
      </c>
      <c r="C84" s="9" cm="1">
        <f t="array" ref="C84:G84">NetCashPosition_deleverage - BS!MinimumOperatingCash_deleverage</f>
        <v>0</v>
      </c>
      <c r="D84" s="9">
        <v>0</v>
      </c>
      <c r="E84" s="9">
        <v>0</v>
      </c>
      <c r="F84" s="9">
        <v>0</v>
      </c>
      <c r="G84" s="9">
        <v>0</v>
      </c>
    </row>
    <row r="85" spans="1:7">
      <c r="A85" s="4" t="s">
        <v>247</v>
      </c>
      <c r="B85" s="5" t="s">
        <v>316</v>
      </c>
      <c r="C85" s="9" cm="1">
        <f t="array" ref="C85:G85">IF(DiscretionaryCash_deleverage &gt; 0, DiscretionaryCash_deleverage, 0)</f>
        <v>0</v>
      </c>
      <c r="D85" s="9">
        <v>0</v>
      </c>
      <c r="E85" s="9">
        <v>0</v>
      </c>
      <c r="F85" s="9">
        <v>0</v>
      </c>
      <c r="G85" s="9">
        <v>0</v>
      </c>
    </row>
    <row r="86" spans="1:7">
      <c r="A86" s="4" t="s">
        <v>253</v>
      </c>
      <c r="B86" s="5" t="s">
        <v>319</v>
      </c>
      <c r="C86" s="9" cm="1">
        <f t="array" ref="C86:G86">IF(DiscretionaryCash_deleverage &lt; 0, -DiscretionaryCash_deleverage, 0)</f>
        <v>0</v>
      </c>
      <c r="D86" s="9">
        <v>0</v>
      </c>
      <c r="E86" s="9">
        <v>0</v>
      </c>
      <c r="F86" s="9">
        <v>0</v>
      </c>
      <c r="G86" s="9">
        <v>0</v>
      </c>
    </row>
    <row r="87" spans="1:7">
      <c r="A87" s="4" t="s">
        <v>446</v>
      </c>
      <c r="B87" s="5" t="s">
        <v>519</v>
      </c>
      <c r="C87" s="9" cm="1">
        <f t="array" ref="C87:G87">FN.SEEDROW(0, FN.PREV(DiscretionaryCash_deleverage))</f>
        <v>0</v>
      </c>
      <c r="D87" s="9">
        <v>0</v>
      </c>
      <c r="E87" s="9">
        <v>0</v>
      </c>
      <c r="F87" s="9">
        <v>0</v>
      </c>
      <c r="G87" s="9">
        <v>0</v>
      </c>
    </row>
    <row r="88" spans="1:7">
      <c r="A88" s="4" t="s">
        <v>448</v>
      </c>
      <c r="B88" s="5" t="s">
        <v>520</v>
      </c>
      <c r="C88" s="9" cm="1">
        <f t="array" ref="C88:G88">FN.SEEDROW(0, FN.PREV(ExcessCash_deleverage))</f>
        <v>0</v>
      </c>
      <c r="D88" s="9">
        <v>0</v>
      </c>
      <c r="E88" s="9">
        <v>0</v>
      </c>
      <c r="F88" s="9">
        <v>0</v>
      </c>
      <c r="G88" s="9">
        <v>0</v>
      </c>
    </row>
    <row r="89" spans="1:7">
      <c r="A89" s="4" t="s">
        <v>450</v>
      </c>
      <c r="B89" s="5" t="s">
        <v>521</v>
      </c>
      <c r="C89" s="9" cm="1">
        <f t="array" ref="C89:G89">FN.SEEDROW(0, FN.PREV(BankOverdraft_deleverage))</f>
        <v>0</v>
      </c>
      <c r="D89" s="9">
        <v>0</v>
      </c>
      <c r="E89" s="9">
        <v>0</v>
      </c>
      <c r="F89" s="9">
        <v>0</v>
      </c>
      <c r="G89" s="9">
        <v>0</v>
      </c>
    </row>
    <row r="90" spans="1:7">
      <c r="A90" s="4" t="s">
        <v>452</v>
      </c>
      <c r="B90" s="5" t="s">
        <v>522</v>
      </c>
      <c r="C90" s="9" cm="1">
        <f t="array" ref="C90:G90">FN.SEEDROW(0, ExcessPrev_deleverage + ExcessCash_deleverage + OverdraftPrev_deleverage + BankOverdraft_deleverage)</f>
        <v>0</v>
      </c>
      <c r="D90" s="9">
        <v>0</v>
      </c>
      <c r="E90" s="9">
        <v>0</v>
      </c>
      <c r="F90" s="9">
        <v>0</v>
      </c>
      <c r="G90" s="9">
        <v>0</v>
      </c>
    </row>
    <row r="91" spans="1:7">
      <c r="A91" s="4" t="s">
        <v>454</v>
      </c>
      <c r="B91" s="5" t="s">
        <v>523</v>
      </c>
      <c r="C91" s="9" cm="1">
        <f t="array" ref="C91:G91">FN.SEEDROW(0, FN.AVGPART(ExcessPrev_deleverage, ExcessCash_deleverage, Swing_deleverage))</f>
        <v>0</v>
      </c>
      <c r="D91" s="9">
        <v>0</v>
      </c>
      <c r="E91" s="9">
        <v>0</v>
      </c>
      <c r="F91" s="9">
        <v>0</v>
      </c>
      <c r="G91" s="9">
        <v>0</v>
      </c>
    </row>
    <row r="92" spans="1:7">
      <c r="A92" s="4" t="s">
        <v>456</v>
      </c>
      <c r="B92" s="5" t="s">
        <v>524</v>
      </c>
      <c r="C92" s="9" cm="1">
        <f t="array" ref="C92:G92">FN.SEEDROW(0, FN.AVGPART(OverdraftPrev_deleverage, BankOverdraft_deleverage, Swing_deleverage))</f>
        <v>0</v>
      </c>
      <c r="D92" s="9">
        <v>0</v>
      </c>
      <c r="E92" s="9">
        <v>0</v>
      </c>
      <c r="F92" s="9">
        <v>0</v>
      </c>
      <c r="G92" s="9">
        <v>0</v>
      </c>
    </row>
    <row r="93" spans="1:7">
      <c r="A93" s="4" t="s">
        <v>458</v>
      </c>
      <c r="B93" s="5" t="s">
        <v>525</v>
      </c>
      <c r="C93" s="9" cm="1">
        <f t="array" ref="C93:G93">FN.SEEDROW(0, IS!InterestIncomeOnExcessCash_deleverage)</f>
        <v>0</v>
      </c>
      <c r="D93" s="9">
        <v>0</v>
      </c>
      <c r="E93" s="9">
        <v>0</v>
      </c>
      <c r="F93" s="9">
        <v>0</v>
      </c>
      <c r="G93" s="9">
        <v>0</v>
      </c>
    </row>
    <row r="94" spans="1:7">
      <c r="A94" s="4" t="s">
        <v>460</v>
      </c>
      <c r="B94" s="5" t="s">
        <v>526</v>
      </c>
      <c r="C94" s="9" cm="1">
        <f t="array" ref="C94:G94">FN.SEEDROW(0, -IS!InterestExpenseOnBankOverdraft_deleverage)</f>
        <v>0</v>
      </c>
      <c r="D94" s="9">
        <v>0</v>
      </c>
      <c r="E94" s="9">
        <v>0</v>
      </c>
      <c r="F94" s="9">
        <v>0</v>
      </c>
      <c r="G94" s="9">
        <v>0</v>
      </c>
    </row>
    <row r="95" spans="1:7">
      <c r="A95" s="4" t="s">
        <v>462</v>
      </c>
      <c r="B95" s="5" t="s">
        <v>527</v>
      </c>
      <c r="C95" s="9" cm="1">
        <f t="array" ref="C95:G95">FN.SEEDROW(0, CashInterestIncome_deleverage - OverdraftInterestExpense_deleverage)</f>
        <v>0</v>
      </c>
      <c r="D95" s="9">
        <v>0</v>
      </c>
      <c r="E95" s="9">
        <v>0</v>
      </c>
      <c r="F95" s="9">
        <v>0</v>
      </c>
      <c r="G95" s="9">
        <v>0</v>
      </c>
    </row>
    <row r="96" spans="1:7">
      <c r="A96" s="4" t="s">
        <v>464</v>
      </c>
      <c r="B96" s="5" t="s">
        <v>528</v>
      </c>
      <c r="C96" s="9" cm="1">
        <f t="array" ref="C96:G96">IF(BankOverdraft_deleverage &gt; 0, 1, 0)</f>
        <v>0</v>
      </c>
      <c r="D96" s="9">
        <v>0</v>
      </c>
      <c r="E96" s="9">
        <v>0</v>
      </c>
      <c r="F96" s="9">
        <v>0</v>
      </c>
      <c r="G96" s="9">
        <v>0</v>
      </c>
    </row>
    <row r="97" spans="1:7">
      <c r="A97" s="4" t="s">
        <v>466</v>
      </c>
      <c r="B97" s="5" t="s">
        <v>529</v>
      </c>
      <c r="C97" s="9" cm="1">
        <f t="array" ref="C97:G97">BS!DeltaAccountsReceivable_deleverage + BS!DeltaRawMaterials_deleverage + BS!DeltaFinishedGoods_deleverage + BS!DeltaOtherAccountsPayable_deleverage + BS!DeltaWagesPayable_deleverage</f>
        <v>0</v>
      </c>
      <c r="D97" s="9">
        <v>0</v>
      </c>
      <c r="E97" s="9">
        <v>0</v>
      </c>
      <c r="F97" s="9">
        <v>0</v>
      </c>
      <c r="G97" s="9">
        <v>0</v>
      </c>
    </row>
    <row r="98" spans="1:7">
      <c r="A98" s="4" t="s">
        <v>468</v>
      </c>
      <c r="B98" s="5" t="s">
        <v>530</v>
      </c>
      <c r="C98" s="9" cm="1">
        <f t="array" ref="C98:G98">FN.SEEDROW(0, (IS!NetIncome_deleverage - (TotalNonCashNWCChange_deleverage + BS!DeltaNetFixedAssets_deleverage)) + BS!DeltaFinancialDebt_deleverage + Dividends_deleverage + SaleOrPurchaseOfStock_deleverage)</f>
        <v>0</v>
      </c>
      <c r="D98" s="9">
        <v>0</v>
      </c>
      <c r="E98" s="9">
        <v>0</v>
      </c>
      <c r="F98" s="9">
        <v>0</v>
      </c>
      <c r="G98" s="9">
        <v>0</v>
      </c>
    </row>
    <row r="99" spans="1:7">
      <c r="A99" s="4" t="s">
        <v>470</v>
      </c>
      <c r="B99" s="5" t="s">
        <v>531</v>
      </c>
      <c r="C99" s="8" cm="1">
        <f t="array" ref="C99:G99">FN.SEEDROW(0, NCF_deleverage - NCFViaIncomeAndBSDelta_deleverage)</f>
        <v>0</v>
      </c>
      <c r="D99" s="8">
        <v>0</v>
      </c>
      <c r="E99" s="8">
        <v>0</v>
      </c>
      <c r="F99" s="8">
        <v>0</v>
      </c>
      <c r="G99" s="8">
        <v>0</v>
      </c>
    </row>
    <row r="100" spans="1:7">
      <c r="A100" s="4" t="s">
        <v>472</v>
      </c>
      <c r="B100" s="5" t="s">
        <v>532</v>
      </c>
      <c r="C100" s="9" cm="1">
        <f t="array" ref="C100:G100">FN.SEEDROW(0, (BS!DeltaMinimumOperatingCash_deleverage + (ExcessCash_deleverage - FN.PREV(ExcessCash_deleverage))) - (BankOverdraft_deleverage - FN.PREV(BankOverdraft_deleverage)))</f>
        <v>0</v>
      </c>
      <c r="D100" s="9">
        <v>0</v>
      </c>
      <c r="E100" s="9">
        <v>0</v>
      </c>
      <c r="F100" s="9">
        <v>0</v>
      </c>
      <c r="G100" s="9">
        <v>0</v>
      </c>
    </row>
    <row r="101" spans="1:7">
      <c r="A101" s="4" t="s">
        <v>474</v>
      </c>
      <c r="B101" s="5" t="s">
        <v>533</v>
      </c>
      <c r="C101" s="8" cm="1">
        <f t="array" ref="C101:G101">FN.SEEDROW(0, NCF_deleverage - NCFViaCashDecomposition_deleverage)</f>
        <v>0</v>
      </c>
      <c r="D101" s="8">
        <v>0</v>
      </c>
      <c r="E101" s="8">
        <v>0</v>
      </c>
      <c r="F101" s="8">
        <v>0</v>
      </c>
      <c r="G101" s="8">
        <v>0</v>
      </c>
    </row>
    <row r="102" spans="1:7">
      <c r="A102" s="4" t="s">
        <v>476</v>
      </c>
      <c r="B102" s="5" t="s">
        <v>534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</row>
    <row r="103" spans="1:7">
      <c r="A103" s="4" t="s">
        <v>478</v>
      </c>
      <c r="B103" s="5" t="s">
        <v>535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</row>
    <row r="104" spans="1:7">
      <c r="A104" s="4" t="s">
        <v>480</v>
      </c>
      <c r="B104" s="5" t="s">
        <v>536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</row>
    <row r="105" spans="1:7">
      <c r="A105" s="4" t="s">
        <v>482</v>
      </c>
      <c r="B105" s="5" t="s">
        <v>537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</row>
    <row r="106" spans="1:7">
      <c r="A106" s="4" t="s">
        <v>484</v>
      </c>
      <c r="B106" s="5" t="s">
        <v>538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</row>
    <row r="107" spans="1:7">
      <c r="A107" s="4" t="s">
        <v>486</v>
      </c>
      <c r="B107" s="5" t="s">
        <v>539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</row>
    <row r="111" spans="1:7">
      <c r="A111" s="3" t="s">
        <v>115</v>
      </c>
    </row>
    <row r="112" spans="1:7">
      <c r="A112" s="7" t="s">
        <v>540</v>
      </c>
      <c r="B112" s="5" t="s">
        <v>383</v>
      </c>
    </row>
    <row r="113" spans="1:2">
      <c r="A113" s="7" t="s">
        <v>541</v>
      </c>
      <c r="B113" s="5" t="s">
        <v>259</v>
      </c>
    </row>
    <row r="114" spans="1:2">
      <c r="A114" s="7" t="s">
        <v>542</v>
      </c>
      <c r="B114" s="5" t="s">
        <v>257</v>
      </c>
    </row>
    <row r="115" spans="1:2">
      <c r="A115" s="7" t="s">
        <v>543</v>
      </c>
      <c r="B115" s="5" t="s">
        <v>438</v>
      </c>
    </row>
    <row r="116" spans="1:2">
      <c r="A116" s="7" t="s">
        <v>544</v>
      </c>
      <c r="B116" s="5" t="s">
        <v>440</v>
      </c>
    </row>
    <row r="117" spans="1:2">
      <c r="A117" s="7" t="s">
        <v>545</v>
      </c>
      <c r="B117" s="5" t="s">
        <v>441</v>
      </c>
    </row>
    <row r="118" spans="1:2">
      <c r="A118" s="7" t="s">
        <v>546</v>
      </c>
      <c r="B118" s="5" t="s">
        <v>393</v>
      </c>
    </row>
    <row r="119" spans="1:2">
      <c r="A119" s="7" t="s">
        <v>547</v>
      </c>
      <c r="B119" s="5" t="s">
        <v>443</v>
      </c>
    </row>
    <row r="120" spans="1:2">
      <c r="A120" s="7" t="s">
        <v>548</v>
      </c>
      <c r="B120" s="5" t="s">
        <v>443</v>
      </c>
    </row>
    <row r="121" spans="1:2">
      <c r="A121" s="7" t="s">
        <v>549</v>
      </c>
      <c r="B121" s="5" t="s">
        <v>445</v>
      </c>
    </row>
    <row r="122" spans="1:2">
      <c r="A122" s="7" t="s">
        <v>550</v>
      </c>
      <c r="B122" s="5" t="s">
        <v>248</v>
      </c>
    </row>
    <row r="123" spans="1:2">
      <c r="A123" s="7" t="s">
        <v>551</v>
      </c>
      <c r="B123" s="5" t="s">
        <v>254</v>
      </c>
    </row>
    <row r="124" spans="1:2">
      <c r="A124" s="7" t="s">
        <v>552</v>
      </c>
      <c r="B124" s="5" t="s">
        <v>447</v>
      </c>
    </row>
    <row r="125" spans="1:2">
      <c r="A125" s="7" t="s">
        <v>553</v>
      </c>
      <c r="B125" s="5" t="s">
        <v>449</v>
      </c>
    </row>
    <row r="126" spans="1:2">
      <c r="A126" s="7" t="s">
        <v>554</v>
      </c>
      <c r="B126" s="5" t="s">
        <v>451</v>
      </c>
    </row>
    <row r="127" spans="1:2">
      <c r="A127" s="7" t="s">
        <v>555</v>
      </c>
      <c r="B127" s="5" t="s">
        <v>453</v>
      </c>
    </row>
    <row r="128" spans="1:2">
      <c r="A128" s="7" t="s">
        <v>556</v>
      </c>
      <c r="B128" s="5" t="s">
        <v>455</v>
      </c>
    </row>
    <row r="129" spans="1:2">
      <c r="A129" s="7" t="s">
        <v>557</v>
      </c>
      <c r="B129" s="5" t="s">
        <v>457</v>
      </c>
    </row>
    <row r="130" spans="1:2">
      <c r="A130" s="7" t="s">
        <v>558</v>
      </c>
      <c r="B130" s="5" t="s">
        <v>459</v>
      </c>
    </row>
    <row r="131" spans="1:2">
      <c r="A131" s="7" t="s">
        <v>559</v>
      </c>
      <c r="B131" s="5" t="s">
        <v>461</v>
      </c>
    </row>
    <row r="132" spans="1:2">
      <c r="A132" s="7" t="s">
        <v>560</v>
      </c>
      <c r="B132" s="5" t="s">
        <v>463</v>
      </c>
    </row>
    <row r="133" spans="1:2">
      <c r="A133" s="7" t="s">
        <v>561</v>
      </c>
      <c r="B133" s="5" t="s">
        <v>465</v>
      </c>
    </row>
    <row r="134" spans="1:2">
      <c r="A134" s="7" t="s">
        <v>562</v>
      </c>
      <c r="B134" s="5" t="s">
        <v>467</v>
      </c>
    </row>
    <row r="135" spans="1:2">
      <c r="A135" s="7" t="s">
        <v>563</v>
      </c>
      <c r="B135" s="5" t="s">
        <v>469</v>
      </c>
    </row>
    <row r="136" spans="1:2">
      <c r="A136" s="7" t="s">
        <v>564</v>
      </c>
      <c r="B136" s="5" t="s">
        <v>471</v>
      </c>
    </row>
    <row r="137" spans="1:2">
      <c r="A137" s="7" t="s">
        <v>565</v>
      </c>
      <c r="B137" s="5" t="s">
        <v>473</v>
      </c>
    </row>
    <row r="138" spans="1:2">
      <c r="A138" s="7" t="s">
        <v>566</v>
      </c>
      <c r="B138" s="5" t="s">
        <v>475</v>
      </c>
    </row>
    <row r="140" spans="1:2">
      <c r="A140" s="2" t="s">
        <v>567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42"/>
  <sheetViews>
    <sheetView workbookViewId="0"/>
  </sheetViews>
  <sheetFormatPr defaultRowHeight="15"/>
  <cols>
    <col min="1" max="1" width="34.7109375" customWidth="1"/>
    <col min="2" max="2" width="39.7109375" customWidth="1"/>
    <col min="3" max="7" width="15.7109375" customWidth="1"/>
  </cols>
  <sheetData>
    <row r="1" spans="1:7">
      <c r="A1" s="1" t="s">
        <v>568</v>
      </c>
    </row>
    <row r="2" spans="1:7">
      <c r="A2" s="2" t="s">
        <v>569</v>
      </c>
    </row>
    <row r="3" spans="1:7">
      <c r="A3" s="2" t="s">
        <v>97</v>
      </c>
    </row>
    <row r="5" spans="1:7">
      <c r="A5" s="3" t="s">
        <v>98</v>
      </c>
      <c r="B5" s="3" t="s">
        <v>54</v>
      </c>
      <c r="C5" s="6" cm="1">
        <f t="array" ref="C5:G5">Model!Years</f>
        <v>0</v>
      </c>
      <c r="D5" s="6">
        <v>0</v>
      </c>
      <c r="E5" s="6">
        <v>0</v>
      </c>
      <c r="F5" s="6">
        <v>0</v>
      </c>
      <c r="G5" s="6">
        <v>0</v>
      </c>
    </row>
    <row r="6" spans="1:7">
      <c r="A6" s="4" t="s">
        <v>382</v>
      </c>
      <c r="B6" s="5" t="s">
        <v>383</v>
      </c>
      <c r="C6" s="9" cm="1">
        <f t="array" ref="C6:G6">FN.SEEDROW(0, FCF!FCFE_base)</f>
        <v>0</v>
      </c>
      <c r="D6" s="9">
        <v>0</v>
      </c>
      <c r="E6" s="9">
        <v>0</v>
      </c>
      <c r="F6" s="9">
        <v>0</v>
      </c>
      <c r="G6" s="9">
        <v>0</v>
      </c>
    </row>
    <row r="7" spans="1:7">
      <c r="A7" s="4" t="s">
        <v>258</v>
      </c>
      <c r="B7" s="5" t="s">
        <v>259</v>
      </c>
      <c r="C7" s="9" cm="1">
        <f t="array" ref="C7:G7">FN.SPREAD(0, Model!Periods)</f>
        <v>0</v>
      </c>
      <c r="D7" s="9">
        <v>0</v>
      </c>
      <c r="E7" s="9">
        <v>0</v>
      </c>
      <c r="F7" s="9">
        <v>0</v>
      </c>
      <c r="G7" s="9">
        <v>0</v>
      </c>
    </row>
    <row r="8" spans="1:7">
      <c r="A8" s="4" t="s">
        <v>256</v>
      </c>
      <c r="B8" s="5" t="s">
        <v>257</v>
      </c>
      <c r="C8" s="9" cm="1">
        <f t="array" ref="C8:G8">IF(FCFE_base &gt;= 0, -FCFE_base * IN.RATE_base("dividends pct of FCFE"), 0)</f>
        <v>0</v>
      </c>
      <c r="D8" s="9">
        <v>0</v>
      </c>
      <c r="E8" s="9">
        <v>0</v>
      </c>
      <c r="F8" s="9">
        <v>0</v>
      </c>
      <c r="G8" s="9">
        <v>0</v>
      </c>
    </row>
    <row r="9" spans="1:7">
      <c r="A9" s="4" t="s">
        <v>390</v>
      </c>
      <c r="B9" s="5" t="s">
        <v>438</v>
      </c>
      <c r="C9" s="9" cm="1">
        <f t="array" ref="C9:G9">FN.SEEDROW(0, BS!DeltaMinimumOperatingCash_base)</f>
        <v>0</v>
      </c>
      <c r="D9" s="9">
        <v>0</v>
      </c>
      <c r="E9" s="9">
        <v>0</v>
      </c>
      <c r="F9" s="9">
        <v>0</v>
      </c>
      <c r="G9" s="9">
        <v>0</v>
      </c>
    </row>
    <row r="10" spans="1:7">
      <c r="A10" s="4" t="s">
        <v>439</v>
      </c>
      <c r="B10" s="5" t="s">
        <v>440</v>
      </c>
      <c r="C10" s="9" cm="1">
        <f t="array" ref="C10:G10">FCFE_base + SaleOrPurchaseOfStock_base + Dividends_base + ReAddChangeInOperatingCash_base</f>
        <v>0</v>
      </c>
      <c r="D10" s="9">
        <v>0</v>
      </c>
      <c r="E10" s="9">
        <v>0</v>
      </c>
      <c r="F10" s="9">
        <v>0</v>
      </c>
      <c r="G10" s="9">
        <v>0</v>
      </c>
    </row>
    <row r="11" spans="1:7">
      <c r="A11" s="4" t="s">
        <v>442</v>
      </c>
      <c r="B11" s="5" t="s">
        <v>443</v>
      </c>
      <c r="C11" s="11" cm="1">
        <f t="array" ref="C11:G11">FN.SEEDREC(IN.ASMPT_base("initial total cash"), _xlfn.SEQUENCE(1, Model!Periods), _xlfn.LAMBDA(_xlpm.prev, _xlpm.i, _xlfn.LET(_xlpm.moc_prev, INDEX(BS!MinimumOperatingCash_base, 1, _xlpm.i - 1), _xlpm.moc, INDEX(BS!MinimumOperatingCash_base, 1, _xlpm.i), _xlpm.ncf_bci, INDEX(NCFBCI_base, 1, _xlpm.i), _xlpm.disc_prev, _xlpm.prev - _xlpm.moc_prev, _xlpm.disc_bci, _xlpm.prev + _xlpm.ncf_bci - _xlpm.moc, _xlpm.cash_int, IN.RATE_base("excess cash interest rate") * FN.AVGPOS(_xlpm.disc_prev, _xlpm.disc_bci), _xlpm.od_int, IN.RATE_base("overdraft interest rate") * FN.AVGNEG(_xlpm.disc_prev, _xlpm.disc_bci), _xlpm.prev + _xlpm.ncf_bci + (_xlpm.cash_int - _xlpm.od_int) * (1 - IN.RATE_base("tax rate")))))</f>
        <v>0</v>
      </c>
      <c r="D11" s="11">
        <v>0</v>
      </c>
      <c r="E11" s="11">
        <v>0</v>
      </c>
      <c r="F11" s="11">
        <v>0</v>
      </c>
      <c r="G11" s="11">
        <v>0</v>
      </c>
    </row>
    <row r="12" spans="1:7">
      <c r="A12" s="4" t="s">
        <v>476</v>
      </c>
      <c r="B12" s="5" t="s">
        <v>570</v>
      </c>
      <c r="C12" s="11" cm="1">
        <f t="array" ref="C12:G12">FN.SEEDROW(IN.ASMPT_base("initial total cash"), FN.PREV(NetCashPosition_base) + NCFBCI_base)</f>
        <v>0</v>
      </c>
      <c r="D12" s="11">
        <v>0</v>
      </c>
      <c r="E12" s="11">
        <v>0</v>
      </c>
      <c r="F12" s="11">
        <v>0</v>
      </c>
      <c r="G12" s="11">
        <v>0</v>
      </c>
    </row>
    <row r="13" spans="1:7">
      <c r="A13" s="4" t="s">
        <v>446</v>
      </c>
      <c r="B13" s="5" t="s">
        <v>447</v>
      </c>
      <c r="C13" s="9" cm="1">
        <f t="array" ref="C13:G13">FN.SEEDROW(0, FN.PREV(DiscretionaryCash_base))</f>
        <v>0</v>
      </c>
      <c r="D13" s="9">
        <v>0</v>
      </c>
      <c r="E13" s="9">
        <v>0</v>
      </c>
      <c r="F13" s="9">
        <v>0</v>
      </c>
      <c r="G13" s="9">
        <v>0</v>
      </c>
    </row>
    <row r="14" spans="1:7">
      <c r="A14" s="4" t="s">
        <v>478</v>
      </c>
      <c r="B14" s="5" t="s">
        <v>571</v>
      </c>
      <c r="C14" s="9" cm="1">
        <f t="array" ref="C14:G14">NetCashPositionBCI_base - BS!MinimumOperatingCash_base</f>
        <v>0</v>
      </c>
      <c r="D14" s="9">
        <v>0</v>
      </c>
      <c r="E14" s="9">
        <v>0</v>
      </c>
      <c r="F14" s="9">
        <v>0</v>
      </c>
      <c r="G14" s="9">
        <v>0</v>
      </c>
    </row>
    <row r="15" spans="1:7">
      <c r="A15" s="4" t="s">
        <v>480</v>
      </c>
      <c r="B15" s="5" t="s">
        <v>572</v>
      </c>
      <c r="C15" s="9" cm="1">
        <f t="array" ref="C15:G15">IF(DiscretionaryBCI_base &gt; 0, DiscretionaryBCI_base, 0)</f>
        <v>0</v>
      </c>
      <c r="D15" s="9">
        <v>0</v>
      </c>
      <c r="E15" s="9">
        <v>0</v>
      </c>
      <c r="F15" s="9">
        <v>0</v>
      </c>
      <c r="G15" s="9">
        <v>0</v>
      </c>
    </row>
    <row r="16" spans="1:7">
      <c r="A16" s="4" t="s">
        <v>482</v>
      </c>
      <c r="B16" s="5" t="s">
        <v>573</v>
      </c>
      <c r="C16" s="9" cm="1">
        <f t="array" ref="C16:G16">IF(DiscretionaryBCI_base &lt; 0, -DiscretionaryBCI_base, 0)</f>
        <v>0</v>
      </c>
      <c r="D16" s="9">
        <v>0</v>
      </c>
      <c r="E16" s="9">
        <v>0</v>
      </c>
      <c r="F16" s="9">
        <v>0</v>
      </c>
      <c r="G16" s="9">
        <v>0</v>
      </c>
    </row>
    <row r="17" spans="1:7">
      <c r="A17" s="4" t="s">
        <v>464</v>
      </c>
      <c r="B17" s="5" t="s">
        <v>465</v>
      </c>
      <c r="C17" s="9" cm="1">
        <f t="array" ref="C17:G17">IF(BankOverdraft_base &gt; 0, 1, 0)</f>
        <v>0</v>
      </c>
      <c r="D17" s="9">
        <v>0</v>
      </c>
      <c r="E17" s="9">
        <v>0</v>
      </c>
      <c r="F17" s="9">
        <v>0</v>
      </c>
      <c r="G17" s="9">
        <v>0</v>
      </c>
    </row>
    <row r="18" spans="1:7">
      <c r="A18" s="4" t="s">
        <v>454</v>
      </c>
      <c r="B18" s="5" t="s">
        <v>455</v>
      </c>
      <c r="C18" s="9" cm="1">
        <f t="array" ref="C18:G18">FN.SEEDROW(0, FN.AVGPOS(DiscretionaryPrev_base, DiscretionaryBCI_base))</f>
        <v>0</v>
      </c>
      <c r="D18" s="9">
        <v>0</v>
      </c>
      <c r="E18" s="9">
        <v>0</v>
      </c>
      <c r="F18" s="9">
        <v>0</v>
      </c>
      <c r="G18" s="9">
        <v>0</v>
      </c>
    </row>
    <row r="19" spans="1:7">
      <c r="A19" s="4" t="s">
        <v>458</v>
      </c>
      <c r="B19" s="5" t="s">
        <v>459</v>
      </c>
      <c r="C19" s="9" cm="1">
        <f t="array" ref="C19:G19">FN.SEEDROW(0, IN.RATE_base("excess cash interest rate") * AvgExcessCash_base)</f>
        <v>0</v>
      </c>
      <c r="D19" s="9">
        <v>0</v>
      </c>
      <c r="E19" s="9">
        <v>0</v>
      </c>
      <c r="F19" s="9">
        <v>0</v>
      </c>
      <c r="G19" s="9">
        <v>0</v>
      </c>
    </row>
    <row r="20" spans="1:7">
      <c r="A20" s="4" t="s">
        <v>456</v>
      </c>
      <c r="B20" s="5" t="s">
        <v>457</v>
      </c>
      <c r="C20" s="9" cm="1">
        <f t="array" ref="C20:G20">FN.SEEDROW(0, FN.AVGNEG(DiscretionaryPrev_base, DiscretionaryBCI_base))</f>
        <v>0</v>
      </c>
      <c r="D20" s="9">
        <v>0</v>
      </c>
      <c r="E20" s="9">
        <v>0</v>
      </c>
      <c r="F20" s="9">
        <v>0</v>
      </c>
      <c r="G20" s="9">
        <v>0</v>
      </c>
    </row>
    <row r="21" spans="1:7">
      <c r="A21" s="4" t="s">
        <v>460</v>
      </c>
      <c r="B21" s="5" t="s">
        <v>461</v>
      </c>
      <c r="C21" s="9" cm="1">
        <f t="array" ref="C21:G21">FN.SEEDROW(0, IN.RATE_base("overdraft interest rate") * AvgOverdraft_base)</f>
        <v>0</v>
      </c>
      <c r="D21" s="9">
        <v>0</v>
      </c>
      <c r="E21" s="9">
        <v>0</v>
      </c>
      <c r="F21" s="9">
        <v>0</v>
      </c>
      <c r="G21" s="9">
        <v>0</v>
      </c>
    </row>
    <row r="22" spans="1:7">
      <c r="A22" s="4" t="s">
        <v>462</v>
      </c>
      <c r="B22" s="5" t="s">
        <v>463</v>
      </c>
      <c r="C22" s="9" cm="1">
        <f t="array" ref="C22:G22">FN.SEEDROW(0, CashInterestIncome_base - OverdraftInterestExpense_base)</f>
        <v>0</v>
      </c>
      <c r="D22" s="9">
        <v>0</v>
      </c>
      <c r="E22" s="9">
        <v>0</v>
      </c>
      <c r="F22" s="9">
        <v>0</v>
      </c>
      <c r="G22" s="9">
        <v>0</v>
      </c>
    </row>
    <row r="23" spans="1:7">
      <c r="A23" s="4" t="s">
        <v>388</v>
      </c>
      <c r="B23" s="5" t="s">
        <v>441</v>
      </c>
      <c r="C23" s="9" cm="1">
        <f t="array" ref="C23:G23">FN.SEEDROW(0, NetCashInterest_base * (1 - IN.RATE_base("tax rate")))</f>
        <v>0</v>
      </c>
      <c r="D23" s="9">
        <v>0</v>
      </c>
      <c r="E23" s="9">
        <v>0</v>
      </c>
      <c r="F23" s="9">
        <v>0</v>
      </c>
      <c r="G23" s="9">
        <v>0</v>
      </c>
    </row>
    <row r="24" spans="1:7">
      <c r="A24" s="4" t="s">
        <v>392</v>
      </c>
      <c r="B24" s="5" t="s">
        <v>393</v>
      </c>
      <c r="C24" s="9" cm="1">
        <f t="array" ref="C24:G24">NCFBCI_base + AfterTaxCashInterest_base</f>
        <v>0</v>
      </c>
      <c r="D24" s="9">
        <v>0</v>
      </c>
      <c r="E24" s="9">
        <v>0</v>
      </c>
      <c r="F24" s="9">
        <v>0</v>
      </c>
      <c r="G24" s="9">
        <v>0</v>
      </c>
    </row>
    <row r="25" spans="1:7">
      <c r="A25" s="4" t="s">
        <v>444</v>
      </c>
      <c r="B25" s="5" t="s">
        <v>445</v>
      </c>
      <c r="C25" s="9" cm="1">
        <f t="array" ref="C25:G25">NetCashPosition_base - BS!MinimumOperatingCash_base</f>
        <v>0</v>
      </c>
      <c r="D25" s="9">
        <v>0</v>
      </c>
      <c r="E25" s="9">
        <v>0</v>
      </c>
      <c r="F25" s="9">
        <v>0</v>
      </c>
      <c r="G25" s="9">
        <v>0</v>
      </c>
    </row>
    <row r="26" spans="1:7">
      <c r="A26" s="4" t="s">
        <v>247</v>
      </c>
      <c r="B26" s="5" t="s">
        <v>248</v>
      </c>
      <c r="C26" s="9" cm="1">
        <f t="array" ref="C26:G26">IF(DiscretionaryCash_base &gt; 0, DiscretionaryCash_base, 0)</f>
        <v>0</v>
      </c>
      <c r="D26" s="9">
        <v>0</v>
      </c>
      <c r="E26" s="9">
        <v>0</v>
      </c>
      <c r="F26" s="9">
        <v>0</v>
      </c>
      <c r="G26" s="9">
        <v>0</v>
      </c>
    </row>
    <row r="27" spans="1:7">
      <c r="A27" s="4" t="s">
        <v>253</v>
      </c>
      <c r="B27" s="5" t="s">
        <v>254</v>
      </c>
      <c r="C27" s="9" cm="1">
        <f t="array" ref="C27:G27">IF(DiscretionaryCash_base &lt; 0, -DiscretionaryCash_base, 0)</f>
        <v>0</v>
      </c>
      <c r="D27" s="9">
        <v>0</v>
      </c>
      <c r="E27" s="9">
        <v>0</v>
      </c>
      <c r="F27" s="9">
        <v>0</v>
      </c>
      <c r="G27" s="9">
        <v>0</v>
      </c>
    </row>
    <row r="28" spans="1:7">
      <c r="A28" s="4" t="s">
        <v>466</v>
      </c>
      <c r="B28" s="5" t="s">
        <v>467</v>
      </c>
      <c r="C28" s="9" cm="1">
        <f t="array" ref="C28:G28">BS!DeltaAccountsReceivable_base + BS!DeltaRawMaterials_base + BS!DeltaFinishedGoods_base + BS!DeltaOtherAccountsPayable_base + BS!DeltaWagesPayable_base</f>
        <v>0</v>
      </c>
      <c r="D28" s="9">
        <v>0</v>
      </c>
      <c r="E28" s="9">
        <v>0</v>
      </c>
      <c r="F28" s="9">
        <v>0</v>
      </c>
      <c r="G28" s="9">
        <v>0</v>
      </c>
    </row>
    <row r="29" spans="1:7">
      <c r="A29" s="4" t="s">
        <v>468</v>
      </c>
      <c r="B29" s="5" t="s">
        <v>574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</row>
    <row r="30" spans="1:7">
      <c r="A30" s="4" t="s">
        <v>470</v>
      </c>
      <c r="B30" s="5" t="s">
        <v>575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</row>
    <row r="31" spans="1:7">
      <c r="A31" s="4" t="s">
        <v>472</v>
      </c>
      <c r="B31" s="5" t="s">
        <v>473</v>
      </c>
      <c r="C31" s="9" cm="1">
        <f t="array" ref="C31:G31">FN.SEEDROW(0, (BS!DeltaMinimumOperatingCash_base + (ExcessCash_base - FN.PREV(ExcessCash_base))) - (BankOverdraft_base - FN.PREV(BankOverdraft_base)))</f>
        <v>0</v>
      </c>
      <c r="D31" s="9">
        <v>0</v>
      </c>
      <c r="E31" s="9">
        <v>0</v>
      </c>
      <c r="F31" s="9">
        <v>0</v>
      </c>
      <c r="G31" s="9">
        <v>0</v>
      </c>
    </row>
    <row r="32" spans="1:7">
      <c r="A32" s="4" t="s">
        <v>474</v>
      </c>
      <c r="B32" s="5" t="s">
        <v>475</v>
      </c>
      <c r="C32" s="8" cm="1">
        <f t="array" ref="C32:G32">FN.SEEDROW(0, NCF_base - NCFViaCashDecomposition_base)</f>
        <v>0</v>
      </c>
      <c r="D32" s="8">
        <v>0</v>
      </c>
      <c r="E32" s="8">
        <v>0</v>
      </c>
      <c r="F32" s="8">
        <v>0</v>
      </c>
      <c r="G32" s="8">
        <v>0</v>
      </c>
    </row>
    <row r="33" spans="1:7">
      <c r="A33" s="4" t="s">
        <v>484</v>
      </c>
      <c r="B33" s="5" t="s">
        <v>576</v>
      </c>
      <c r="C33" s="9" cm="1">
        <f t="array" ref="C33:G33">FN.SEEDROW(0, CashInterestIncome_base - 'SCF recursive'!CashInterestIncome_base)</f>
        <v>0</v>
      </c>
      <c r="D33" s="9">
        <v>0</v>
      </c>
      <c r="E33" s="9">
        <v>0</v>
      </c>
      <c r="F33" s="9">
        <v>0</v>
      </c>
      <c r="G33" s="9">
        <v>0</v>
      </c>
    </row>
    <row r="34" spans="1:7">
      <c r="A34" s="4" t="s">
        <v>486</v>
      </c>
      <c r="B34" s="5" t="s">
        <v>577</v>
      </c>
      <c r="C34" s="9" cm="1">
        <f t="array" ref="C34:G34">DiscretionaryCash_base - 'SCF recursive'!DiscretionaryCash_base</f>
        <v>0</v>
      </c>
      <c r="D34" s="9">
        <v>0</v>
      </c>
      <c r="E34" s="9">
        <v>0</v>
      </c>
      <c r="F34" s="9">
        <v>0</v>
      </c>
      <c r="G34" s="9">
        <v>0</v>
      </c>
    </row>
    <row r="35" spans="1:7">
      <c r="A35" s="4" t="s">
        <v>448</v>
      </c>
      <c r="B35" s="5" t="s">
        <v>578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</row>
    <row r="36" spans="1:7">
      <c r="A36" s="4" t="s">
        <v>450</v>
      </c>
      <c r="B36" s="5" t="s">
        <v>579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</row>
    <row r="37" spans="1:7">
      <c r="A37" s="4" t="s">
        <v>452</v>
      </c>
      <c r="B37" s="5" t="s">
        <v>580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</row>
    <row r="40" spans="1:7">
      <c r="A40" s="3" t="s">
        <v>101</v>
      </c>
      <c r="B40" s="3" t="s">
        <v>54</v>
      </c>
      <c r="C40" s="6" cm="1">
        <f t="array" ref="C40:G40">Model!Years</f>
        <v>0</v>
      </c>
      <c r="D40" s="6">
        <v>0</v>
      </c>
      <c r="E40" s="6">
        <v>0</v>
      </c>
      <c r="F40" s="6">
        <v>0</v>
      </c>
      <c r="G40" s="6">
        <v>0</v>
      </c>
    </row>
    <row r="41" spans="1:7">
      <c r="A41" s="4" t="s">
        <v>382</v>
      </c>
      <c r="B41" s="5" t="s">
        <v>402</v>
      </c>
      <c r="C41" s="9" cm="1">
        <f t="array" ref="C41:G41">FN.SEEDROW(0, FCF!FCFE_payout)</f>
        <v>0</v>
      </c>
      <c r="D41" s="9">
        <v>0</v>
      </c>
      <c r="E41" s="9">
        <v>0</v>
      </c>
      <c r="F41" s="9">
        <v>0</v>
      </c>
      <c r="G41" s="9">
        <v>0</v>
      </c>
    </row>
    <row r="42" spans="1:7">
      <c r="A42" s="4" t="s">
        <v>258</v>
      </c>
      <c r="B42" s="5" t="s">
        <v>292</v>
      </c>
      <c r="C42" s="9" cm="1">
        <f t="array" ref="C42:G42">FN.SPREAD(0, Model!Periods)</f>
        <v>0</v>
      </c>
      <c r="D42" s="9">
        <v>0</v>
      </c>
      <c r="E42" s="9">
        <v>0</v>
      </c>
      <c r="F42" s="9">
        <v>0</v>
      </c>
      <c r="G42" s="9">
        <v>0</v>
      </c>
    </row>
    <row r="43" spans="1:7">
      <c r="A43" s="4" t="s">
        <v>256</v>
      </c>
      <c r="B43" s="5" t="s">
        <v>291</v>
      </c>
      <c r="C43" s="9" cm="1">
        <f t="array" ref="C43:G43">IF(FCFE_payout &gt;= 0, -FCFE_payout * IN.RATE_payout("dividends pct of FCFE"), 0)</f>
        <v>0</v>
      </c>
      <c r="D43" s="9">
        <v>0</v>
      </c>
      <c r="E43" s="9">
        <v>0</v>
      </c>
      <c r="F43" s="9">
        <v>0</v>
      </c>
      <c r="G43" s="9">
        <v>0</v>
      </c>
    </row>
    <row r="44" spans="1:7">
      <c r="A44" s="4" t="s">
        <v>390</v>
      </c>
      <c r="B44" s="5" t="s">
        <v>488</v>
      </c>
      <c r="C44" s="9" cm="1">
        <f t="array" ref="C44:G44">FN.SEEDROW(0, BS!DeltaMinimumOperatingCash_payout)</f>
        <v>0</v>
      </c>
      <c r="D44" s="9">
        <v>0</v>
      </c>
      <c r="E44" s="9">
        <v>0</v>
      </c>
      <c r="F44" s="9">
        <v>0</v>
      </c>
      <c r="G44" s="9">
        <v>0</v>
      </c>
    </row>
    <row r="45" spans="1:7">
      <c r="A45" s="4" t="s">
        <v>439</v>
      </c>
      <c r="B45" s="5" t="s">
        <v>489</v>
      </c>
      <c r="C45" s="9" cm="1">
        <f t="array" ref="C45:G45">FCFE_payout + SaleOrPurchaseOfStock_payout + Dividends_payout + ReAddChangeInOperatingCash_payout</f>
        <v>0</v>
      </c>
      <c r="D45" s="9">
        <v>0</v>
      </c>
      <c r="E45" s="9">
        <v>0</v>
      </c>
      <c r="F45" s="9">
        <v>0</v>
      </c>
      <c r="G45" s="9">
        <v>0</v>
      </c>
    </row>
    <row r="46" spans="1:7">
      <c r="A46" s="4" t="s">
        <v>442</v>
      </c>
      <c r="B46" s="5" t="s">
        <v>491</v>
      </c>
      <c r="C46" s="11" cm="1">
        <f t="array" ref="C46:G46">FN.SEEDREC(IN.ASMPT_payout("initial total cash"), _xlfn.SEQUENCE(1, Model!Periods), _xlfn.LAMBDA(_xlpm.prev, _xlpm.i, _xlfn.LET(_xlpm.moc_prev, INDEX(BS!MinimumOperatingCash_payout, 1, _xlpm.i - 1), _xlpm.moc, INDEX(BS!MinimumOperatingCash_payout, 1, _xlpm.i), _xlpm.ncf_bci, INDEX(NCFBCI_payout, 1, _xlpm.i), _xlpm.disc_prev, _xlpm.prev - _xlpm.moc_prev, _xlpm.disc_bci, _xlpm.prev + _xlpm.ncf_bci - _xlpm.moc, _xlpm.cash_int, IN.RATE_payout("excess cash interest rate") * FN.AVGPOS(_xlpm.disc_prev, _xlpm.disc_bci), _xlpm.od_int, IN.RATE_payout("overdraft interest rate") * FN.AVGNEG(_xlpm.disc_prev, _xlpm.disc_bci), _xlpm.prev + _xlpm.ncf_bci + (_xlpm.cash_int - _xlpm.od_int) * (1 - IN.RATE_payout("tax rate")))))</f>
        <v>0</v>
      </c>
      <c r="D46" s="11">
        <v>0</v>
      </c>
      <c r="E46" s="11">
        <v>0</v>
      </c>
      <c r="F46" s="11">
        <v>0</v>
      </c>
      <c r="G46" s="11">
        <v>0</v>
      </c>
    </row>
    <row r="47" spans="1:7">
      <c r="A47" s="4" t="s">
        <v>476</v>
      </c>
      <c r="B47" s="5" t="s">
        <v>581</v>
      </c>
      <c r="C47" s="11" cm="1">
        <f t="array" ref="C47:G47">FN.SEEDROW(IN.ASMPT_payout("initial total cash"), FN.PREV(NetCashPosition_payout) + NCFBCI_payout)</f>
        <v>0</v>
      </c>
      <c r="D47" s="11">
        <v>0</v>
      </c>
      <c r="E47" s="11">
        <v>0</v>
      </c>
      <c r="F47" s="11">
        <v>0</v>
      </c>
      <c r="G47" s="11">
        <v>0</v>
      </c>
    </row>
    <row r="48" spans="1:7">
      <c r="A48" s="4" t="s">
        <v>446</v>
      </c>
      <c r="B48" s="5" t="s">
        <v>493</v>
      </c>
      <c r="C48" s="9" cm="1">
        <f t="array" ref="C48:G48">FN.SEEDROW(0, FN.PREV(DiscretionaryCash_payout))</f>
        <v>0</v>
      </c>
      <c r="D48" s="9">
        <v>0</v>
      </c>
      <c r="E48" s="9">
        <v>0</v>
      </c>
      <c r="F48" s="9">
        <v>0</v>
      </c>
      <c r="G48" s="9">
        <v>0</v>
      </c>
    </row>
    <row r="49" spans="1:7">
      <c r="A49" s="4" t="s">
        <v>478</v>
      </c>
      <c r="B49" s="5" t="s">
        <v>582</v>
      </c>
      <c r="C49" s="9" cm="1">
        <f t="array" ref="C49:G49">NetCashPositionBCI_payout - BS!MinimumOperatingCash_payout</f>
        <v>0</v>
      </c>
      <c r="D49" s="9">
        <v>0</v>
      </c>
      <c r="E49" s="9">
        <v>0</v>
      </c>
      <c r="F49" s="9">
        <v>0</v>
      </c>
      <c r="G49" s="9">
        <v>0</v>
      </c>
    </row>
    <row r="50" spans="1:7">
      <c r="A50" s="4" t="s">
        <v>480</v>
      </c>
      <c r="B50" s="5" t="s">
        <v>583</v>
      </c>
      <c r="C50" s="9" cm="1">
        <f t="array" ref="C50:G50">IF(DiscretionaryBCI_payout &gt; 0, DiscretionaryBCI_payout, 0)</f>
        <v>0</v>
      </c>
      <c r="D50" s="9">
        <v>0</v>
      </c>
      <c r="E50" s="9">
        <v>0</v>
      </c>
      <c r="F50" s="9">
        <v>0</v>
      </c>
      <c r="G50" s="9">
        <v>0</v>
      </c>
    </row>
    <row r="51" spans="1:7">
      <c r="A51" s="4" t="s">
        <v>482</v>
      </c>
      <c r="B51" s="5" t="s">
        <v>584</v>
      </c>
      <c r="C51" s="9" cm="1">
        <f t="array" ref="C51:G51">IF(DiscretionaryBCI_payout &lt; 0, -DiscretionaryBCI_payout, 0)</f>
        <v>0</v>
      </c>
      <c r="D51" s="9">
        <v>0</v>
      </c>
      <c r="E51" s="9">
        <v>0</v>
      </c>
      <c r="F51" s="9">
        <v>0</v>
      </c>
      <c r="G51" s="9">
        <v>0</v>
      </c>
    </row>
    <row r="52" spans="1:7">
      <c r="A52" s="4" t="s">
        <v>464</v>
      </c>
      <c r="B52" s="5" t="s">
        <v>502</v>
      </c>
      <c r="C52" s="9" cm="1">
        <f t="array" ref="C52:G52">IF(BankOverdraft_payout &gt; 0, 1, 0)</f>
        <v>0</v>
      </c>
      <c r="D52" s="9">
        <v>0</v>
      </c>
      <c r="E52" s="9">
        <v>0</v>
      </c>
      <c r="F52" s="9">
        <v>0</v>
      </c>
      <c r="G52" s="9">
        <v>0</v>
      </c>
    </row>
    <row r="53" spans="1:7">
      <c r="A53" s="4" t="s">
        <v>454</v>
      </c>
      <c r="B53" s="5" t="s">
        <v>497</v>
      </c>
      <c r="C53" s="9" cm="1">
        <f t="array" ref="C53:G53">FN.SEEDROW(0, FN.AVGPOS(DiscretionaryPrev_payout, DiscretionaryBCI_payout))</f>
        <v>0</v>
      </c>
      <c r="D53" s="9">
        <v>0</v>
      </c>
      <c r="E53" s="9">
        <v>0</v>
      </c>
      <c r="F53" s="9">
        <v>0</v>
      </c>
      <c r="G53" s="9">
        <v>0</v>
      </c>
    </row>
    <row r="54" spans="1:7">
      <c r="A54" s="4" t="s">
        <v>458</v>
      </c>
      <c r="B54" s="5" t="s">
        <v>499</v>
      </c>
      <c r="C54" s="9" cm="1">
        <f t="array" ref="C54:G54">FN.SEEDROW(0, IN.RATE_payout("excess cash interest rate") * AvgExcessCash_payout)</f>
        <v>0</v>
      </c>
      <c r="D54" s="9">
        <v>0</v>
      </c>
      <c r="E54" s="9">
        <v>0</v>
      </c>
      <c r="F54" s="9">
        <v>0</v>
      </c>
      <c r="G54" s="9">
        <v>0</v>
      </c>
    </row>
    <row r="55" spans="1:7">
      <c r="A55" s="4" t="s">
        <v>456</v>
      </c>
      <c r="B55" s="5" t="s">
        <v>498</v>
      </c>
      <c r="C55" s="9" cm="1">
        <f t="array" ref="C55:G55">FN.SEEDROW(0, FN.AVGNEG(DiscretionaryPrev_payout, DiscretionaryBCI_payout))</f>
        <v>0</v>
      </c>
      <c r="D55" s="9">
        <v>0</v>
      </c>
      <c r="E55" s="9">
        <v>0</v>
      </c>
      <c r="F55" s="9">
        <v>0</v>
      </c>
      <c r="G55" s="9">
        <v>0</v>
      </c>
    </row>
    <row r="56" spans="1:7">
      <c r="A56" s="4" t="s">
        <v>460</v>
      </c>
      <c r="B56" s="5" t="s">
        <v>500</v>
      </c>
      <c r="C56" s="9" cm="1">
        <f t="array" ref="C56:G56">FN.SEEDROW(0, IN.RATE_payout("overdraft interest rate") * AvgOverdraft_payout)</f>
        <v>0</v>
      </c>
      <c r="D56" s="9">
        <v>0</v>
      </c>
      <c r="E56" s="9">
        <v>0</v>
      </c>
      <c r="F56" s="9">
        <v>0</v>
      </c>
      <c r="G56" s="9">
        <v>0</v>
      </c>
    </row>
    <row r="57" spans="1:7">
      <c r="A57" s="4" t="s">
        <v>462</v>
      </c>
      <c r="B57" s="5" t="s">
        <v>501</v>
      </c>
      <c r="C57" s="9" cm="1">
        <f t="array" ref="C57:G57">FN.SEEDROW(0, CashInterestIncome_payout - OverdraftInterestExpense_payout)</f>
        <v>0</v>
      </c>
      <c r="D57" s="9">
        <v>0</v>
      </c>
      <c r="E57" s="9">
        <v>0</v>
      </c>
      <c r="F57" s="9">
        <v>0</v>
      </c>
      <c r="G57" s="9">
        <v>0</v>
      </c>
    </row>
    <row r="58" spans="1:7">
      <c r="A58" s="4" t="s">
        <v>388</v>
      </c>
      <c r="B58" s="5" t="s">
        <v>490</v>
      </c>
      <c r="C58" s="9" cm="1">
        <f t="array" ref="C58:G58">FN.SEEDROW(0, NetCashInterest_payout * (1 - IN.RATE_payout("tax rate")))</f>
        <v>0</v>
      </c>
      <c r="D58" s="9">
        <v>0</v>
      </c>
      <c r="E58" s="9">
        <v>0</v>
      </c>
      <c r="F58" s="9">
        <v>0</v>
      </c>
      <c r="G58" s="9">
        <v>0</v>
      </c>
    </row>
    <row r="59" spans="1:7">
      <c r="A59" s="4" t="s">
        <v>392</v>
      </c>
      <c r="B59" s="5" t="s">
        <v>407</v>
      </c>
      <c r="C59" s="9" cm="1">
        <f t="array" ref="C59:G59">NCFBCI_payout + AfterTaxCashInterest_payout</f>
        <v>0</v>
      </c>
      <c r="D59" s="9">
        <v>0</v>
      </c>
      <c r="E59" s="9">
        <v>0</v>
      </c>
      <c r="F59" s="9">
        <v>0</v>
      </c>
      <c r="G59" s="9">
        <v>0</v>
      </c>
    </row>
    <row r="60" spans="1:7">
      <c r="A60" s="4" t="s">
        <v>444</v>
      </c>
      <c r="B60" s="5" t="s">
        <v>492</v>
      </c>
      <c r="C60" s="9" cm="1">
        <f t="array" ref="C60:G60">NetCashPosition_payout - BS!MinimumOperatingCash_payout</f>
        <v>0</v>
      </c>
      <c r="D60" s="9">
        <v>0</v>
      </c>
      <c r="E60" s="9">
        <v>0</v>
      </c>
      <c r="F60" s="9">
        <v>0</v>
      </c>
      <c r="G60" s="9">
        <v>0</v>
      </c>
    </row>
    <row r="61" spans="1:7">
      <c r="A61" s="4" t="s">
        <v>247</v>
      </c>
      <c r="B61" s="5" t="s">
        <v>287</v>
      </c>
      <c r="C61" s="9" cm="1">
        <f t="array" ref="C61:G61">IF(DiscretionaryCash_payout &gt; 0, DiscretionaryCash_payout, 0)</f>
        <v>0</v>
      </c>
      <c r="D61" s="9">
        <v>0</v>
      </c>
      <c r="E61" s="9">
        <v>0</v>
      </c>
      <c r="F61" s="9">
        <v>0</v>
      </c>
      <c r="G61" s="9">
        <v>0</v>
      </c>
    </row>
    <row r="62" spans="1:7">
      <c r="A62" s="4" t="s">
        <v>253</v>
      </c>
      <c r="B62" s="5" t="s">
        <v>290</v>
      </c>
      <c r="C62" s="9" cm="1">
        <f t="array" ref="C62:G62">IF(DiscretionaryCash_payout &lt; 0, -DiscretionaryCash_payout, 0)</f>
        <v>0</v>
      </c>
      <c r="D62" s="9">
        <v>0</v>
      </c>
      <c r="E62" s="9">
        <v>0</v>
      </c>
      <c r="F62" s="9">
        <v>0</v>
      </c>
      <c r="G62" s="9">
        <v>0</v>
      </c>
    </row>
    <row r="63" spans="1:7">
      <c r="A63" s="4" t="s">
        <v>466</v>
      </c>
      <c r="B63" s="5" t="s">
        <v>503</v>
      </c>
      <c r="C63" s="9" cm="1">
        <f t="array" ref="C63:G63">BS!DeltaAccountsReceivable_payout + BS!DeltaRawMaterials_payout + BS!DeltaFinishedGoods_payout + BS!DeltaOtherAccountsPayable_payout + BS!DeltaWagesPayable_payout</f>
        <v>0</v>
      </c>
      <c r="D63" s="9">
        <v>0</v>
      </c>
      <c r="E63" s="9">
        <v>0</v>
      </c>
      <c r="F63" s="9">
        <v>0</v>
      </c>
      <c r="G63" s="9">
        <v>0</v>
      </c>
    </row>
    <row r="64" spans="1:7">
      <c r="A64" s="4" t="s">
        <v>468</v>
      </c>
      <c r="B64" s="5" t="s">
        <v>585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</row>
    <row r="65" spans="1:7">
      <c r="A65" s="4" t="s">
        <v>470</v>
      </c>
      <c r="B65" s="5" t="s">
        <v>586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</row>
    <row r="66" spans="1:7">
      <c r="A66" s="4" t="s">
        <v>472</v>
      </c>
      <c r="B66" s="5" t="s">
        <v>506</v>
      </c>
      <c r="C66" s="9" cm="1">
        <f t="array" ref="C66:G66">FN.SEEDROW(0, (BS!DeltaMinimumOperatingCash_payout + (ExcessCash_payout - FN.PREV(ExcessCash_payout))) - (BankOverdraft_payout - FN.PREV(BankOverdraft_payout)))</f>
        <v>0</v>
      </c>
      <c r="D66" s="9">
        <v>0</v>
      </c>
      <c r="E66" s="9">
        <v>0</v>
      </c>
      <c r="F66" s="9">
        <v>0</v>
      </c>
      <c r="G66" s="9">
        <v>0</v>
      </c>
    </row>
    <row r="67" spans="1:7">
      <c r="A67" s="4" t="s">
        <v>474</v>
      </c>
      <c r="B67" s="5" t="s">
        <v>507</v>
      </c>
      <c r="C67" s="8" cm="1">
        <f t="array" ref="C67:G67">FN.SEEDROW(0, NCF_payout - NCFViaCashDecomposition_payout)</f>
        <v>0</v>
      </c>
      <c r="D67" s="8">
        <v>0</v>
      </c>
      <c r="E67" s="8">
        <v>0</v>
      </c>
      <c r="F67" s="8">
        <v>0</v>
      </c>
      <c r="G67" s="8">
        <v>0</v>
      </c>
    </row>
    <row r="68" spans="1:7">
      <c r="A68" s="4" t="s">
        <v>484</v>
      </c>
      <c r="B68" s="5" t="s">
        <v>587</v>
      </c>
      <c r="C68" s="9" cm="1">
        <f t="array" ref="C68:G68">FN.SEEDROW(0, CashInterestIncome_payout - 'SCF recursive'!CashInterestIncome_payout)</f>
        <v>0</v>
      </c>
      <c r="D68" s="9">
        <v>0</v>
      </c>
      <c r="E68" s="9">
        <v>0</v>
      </c>
      <c r="F68" s="9">
        <v>0</v>
      </c>
      <c r="G68" s="9">
        <v>0</v>
      </c>
    </row>
    <row r="69" spans="1:7">
      <c r="A69" s="4" t="s">
        <v>486</v>
      </c>
      <c r="B69" s="5" t="s">
        <v>588</v>
      </c>
      <c r="C69" s="9" cm="1">
        <f t="array" ref="C69:G69">DiscretionaryCash_payout - 'SCF recursive'!DiscretionaryCash_payout</f>
        <v>0</v>
      </c>
      <c r="D69" s="9">
        <v>0</v>
      </c>
      <c r="E69" s="9">
        <v>0</v>
      </c>
      <c r="F69" s="9">
        <v>0</v>
      </c>
      <c r="G69" s="9">
        <v>0</v>
      </c>
    </row>
    <row r="70" spans="1:7">
      <c r="A70" s="4" t="s">
        <v>448</v>
      </c>
      <c r="B70" s="5" t="s">
        <v>589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</row>
    <row r="71" spans="1:7">
      <c r="A71" s="4" t="s">
        <v>450</v>
      </c>
      <c r="B71" s="5" t="s">
        <v>590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</row>
    <row r="72" spans="1:7">
      <c r="A72" s="4" t="s">
        <v>452</v>
      </c>
      <c r="B72" s="5" t="s">
        <v>591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</row>
    <row r="75" spans="1:7">
      <c r="A75" s="3" t="s">
        <v>108</v>
      </c>
      <c r="B75" s="3" t="s">
        <v>54</v>
      </c>
      <c r="C75" s="6" cm="1">
        <f t="array" ref="C75:G75">Model!Years</f>
        <v>0</v>
      </c>
      <c r="D75" s="6">
        <v>0</v>
      </c>
      <c r="E75" s="6">
        <v>0</v>
      </c>
      <c r="F75" s="6">
        <v>0</v>
      </c>
      <c r="G75" s="6">
        <v>0</v>
      </c>
    </row>
    <row r="76" spans="1:7">
      <c r="A76" s="4" t="s">
        <v>382</v>
      </c>
      <c r="B76" s="5" t="s">
        <v>416</v>
      </c>
      <c r="C76" s="9" cm="1">
        <f t="array" ref="C76:G76">FN.SEEDROW(0, FCF!FCFE_deleverage)</f>
        <v>0</v>
      </c>
      <c r="D76" s="9">
        <v>0</v>
      </c>
      <c r="E76" s="9">
        <v>0</v>
      </c>
      <c r="F76" s="9">
        <v>0</v>
      </c>
      <c r="G76" s="9">
        <v>0</v>
      </c>
    </row>
    <row r="77" spans="1:7">
      <c r="A77" s="4" t="s">
        <v>258</v>
      </c>
      <c r="B77" s="5" t="s">
        <v>321</v>
      </c>
      <c r="C77" s="9" cm="1">
        <f t="array" ref="C77:G77">FN.SPREAD(0, Model!Periods)</f>
        <v>0</v>
      </c>
      <c r="D77" s="9">
        <v>0</v>
      </c>
      <c r="E77" s="9">
        <v>0</v>
      </c>
      <c r="F77" s="9">
        <v>0</v>
      </c>
      <c r="G77" s="9">
        <v>0</v>
      </c>
    </row>
    <row r="78" spans="1:7">
      <c r="A78" s="4" t="s">
        <v>256</v>
      </c>
      <c r="B78" s="5" t="s">
        <v>320</v>
      </c>
      <c r="C78" s="9" cm="1">
        <f t="array" ref="C78:G78">IF(FCFE_deleverage &gt;= 0, -FCFE_deleverage * IN.RATE_deleverage("dividends pct of FCFE"), 0)</f>
        <v>0</v>
      </c>
      <c r="D78" s="9">
        <v>0</v>
      </c>
      <c r="E78" s="9">
        <v>0</v>
      </c>
      <c r="F78" s="9">
        <v>0</v>
      </c>
      <c r="G78" s="9">
        <v>0</v>
      </c>
    </row>
    <row r="79" spans="1:7">
      <c r="A79" s="4" t="s">
        <v>390</v>
      </c>
      <c r="B79" s="5" t="s">
        <v>514</v>
      </c>
      <c r="C79" s="9" cm="1">
        <f t="array" ref="C79:G79">FN.SEEDROW(0, BS!DeltaMinimumOperatingCash_deleverage)</f>
        <v>0</v>
      </c>
      <c r="D79" s="9">
        <v>0</v>
      </c>
      <c r="E79" s="9">
        <v>0</v>
      </c>
      <c r="F79" s="9">
        <v>0</v>
      </c>
      <c r="G79" s="9">
        <v>0</v>
      </c>
    </row>
    <row r="80" spans="1:7">
      <c r="A80" s="4" t="s">
        <v>439</v>
      </c>
      <c r="B80" s="5" t="s">
        <v>515</v>
      </c>
      <c r="C80" s="9" cm="1">
        <f t="array" ref="C80:G80">FCFE_deleverage + SaleOrPurchaseOfStock_deleverage + Dividends_deleverage + ReAddChangeInOperatingCash_deleverage</f>
        <v>0</v>
      </c>
      <c r="D80" s="9">
        <v>0</v>
      </c>
      <c r="E80" s="9">
        <v>0</v>
      </c>
      <c r="F80" s="9">
        <v>0</v>
      </c>
      <c r="G80" s="9">
        <v>0</v>
      </c>
    </row>
    <row r="81" spans="1:7">
      <c r="A81" s="4" t="s">
        <v>442</v>
      </c>
      <c r="B81" s="5" t="s">
        <v>517</v>
      </c>
      <c r="C81" s="11" cm="1">
        <f t="array" ref="C81:G81">FN.SEEDREC(IN.ASMPT_deleverage("initial total cash"), _xlfn.SEQUENCE(1, Model!Periods), _xlfn.LAMBDA(_xlpm.prev, _xlpm.i, _xlfn.LET(_xlpm.moc_prev, INDEX(BS!MinimumOperatingCash_deleverage, 1, _xlpm.i - 1), _xlpm.moc, INDEX(BS!MinimumOperatingCash_deleverage, 1, _xlpm.i), _xlpm.ncf_bci, INDEX(NCFBCI_deleverage, 1, _xlpm.i), _xlpm.disc_prev, _xlpm.prev - _xlpm.moc_prev, _xlpm.disc_bci, _xlpm.prev + _xlpm.ncf_bci - _xlpm.moc, _xlpm.cash_int, IN.RATE_deleverage("excess cash interest rate") * FN.AVGPOS(_xlpm.disc_prev, _xlpm.disc_bci), _xlpm.od_int, IN.RATE_deleverage("overdraft interest rate") * FN.AVGNEG(_xlpm.disc_prev, _xlpm.disc_bci), _xlpm.prev + _xlpm.ncf_bci + (_xlpm.cash_int - _xlpm.od_int) * (1 - IN.RATE_deleverage("tax rate")))))</f>
        <v>0</v>
      </c>
      <c r="D81" s="11">
        <v>0</v>
      </c>
      <c r="E81" s="11">
        <v>0</v>
      </c>
      <c r="F81" s="11">
        <v>0</v>
      </c>
      <c r="G81" s="11">
        <v>0</v>
      </c>
    </row>
    <row r="82" spans="1:7">
      <c r="A82" s="4" t="s">
        <v>476</v>
      </c>
      <c r="B82" s="5" t="s">
        <v>592</v>
      </c>
      <c r="C82" s="11" cm="1">
        <f t="array" ref="C82:G82">FN.SEEDROW(IN.ASMPT_deleverage("initial total cash"), FN.PREV(NetCashPosition_deleverage) + NCFBCI_deleverage)</f>
        <v>0</v>
      </c>
      <c r="D82" s="11">
        <v>0</v>
      </c>
      <c r="E82" s="11">
        <v>0</v>
      </c>
      <c r="F82" s="11">
        <v>0</v>
      </c>
      <c r="G82" s="11">
        <v>0</v>
      </c>
    </row>
    <row r="83" spans="1:7">
      <c r="A83" s="4" t="s">
        <v>446</v>
      </c>
      <c r="B83" s="5" t="s">
        <v>519</v>
      </c>
      <c r="C83" s="9" cm="1">
        <f t="array" ref="C83:G83">FN.SEEDROW(0, FN.PREV(DiscretionaryCash_deleverage))</f>
        <v>0</v>
      </c>
      <c r="D83" s="9">
        <v>0</v>
      </c>
      <c r="E83" s="9">
        <v>0</v>
      </c>
      <c r="F83" s="9">
        <v>0</v>
      </c>
      <c r="G83" s="9">
        <v>0</v>
      </c>
    </row>
    <row r="84" spans="1:7">
      <c r="A84" s="4" t="s">
        <v>478</v>
      </c>
      <c r="B84" s="5" t="s">
        <v>593</v>
      </c>
      <c r="C84" s="9" cm="1">
        <f t="array" ref="C84:G84">NetCashPositionBCI_deleverage - BS!MinimumOperatingCash_deleverage</f>
        <v>0</v>
      </c>
      <c r="D84" s="9">
        <v>0</v>
      </c>
      <c r="E84" s="9">
        <v>0</v>
      </c>
      <c r="F84" s="9">
        <v>0</v>
      </c>
      <c r="G84" s="9">
        <v>0</v>
      </c>
    </row>
    <row r="85" spans="1:7">
      <c r="A85" s="4" t="s">
        <v>480</v>
      </c>
      <c r="B85" s="5" t="s">
        <v>594</v>
      </c>
      <c r="C85" s="9" cm="1">
        <f t="array" ref="C85:G85">IF(DiscretionaryBCI_deleverage &gt; 0, DiscretionaryBCI_deleverage, 0)</f>
        <v>0</v>
      </c>
      <c r="D85" s="9">
        <v>0</v>
      </c>
      <c r="E85" s="9">
        <v>0</v>
      </c>
      <c r="F85" s="9">
        <v>0</v>
      </c>
      <c r="G85" s="9">
        <v>0</v>
      </c>
    </row>
    <row r="86" spans="1:7">
      <c r="A86" s="4" t="s">
        <v>482</v>
      </c>
      <c r="B86" s="5" t="s">
        <v>595</v>
      </c>
      <c r="C86" s="9" cm="1">
        <f t="array" ref="C86:G86">IF(DiscretionaryBCI_deleverage &lt; 0, -DiscretionaryBCI_deleverage, 0)</f>
        <v>0</v>
      </c>
      <c r="D86" s="9">
        <v>0</v>
      </c>
      <c r="E86" s="9">
        <v>0</v>
      </c>
      <c r="F86" s="9">
        <v>0</v>
      </c>
      <c r="G86" s="9">
        <v>0</v>
      </c>
    </row>
    <row r="87" spans="1:7">
      <c r="A87" s="4" t="s">
        <v>464</v>
      </c>
      <c r="B87" s="5" t="s">
        <v>528</v>
      </c>
      <c r="C87" s="9" cm="1">
        <f t="array" ref="C87:G87">IF(BankOverdraft_deleverage &gt; 0, 1, 0)</f>
        <v>0</v>
      </c>
      <c r="D87" s="9">
        <v>0</v>
      </c>
      <c r="E87" s="9">
        <v>0</v>
      </c>
      <c r="F87" s="9">
        <v>0</v>
      </c>
      <c r="G87" s="9">
        <v>0</v>
      </c>
    </row>
    <row r="88" spans="1:7">
      <c r="A88" s="4" t="s">
        <v>454</v>
      </c>
      <c r="B88" s="5" t="s">
        <v>523</v>
      </c>
      <c r="C88" s="9" cm="1">
        <f t="array" ref="C88:G88">FN.SEEDROW(0, FN.AVGPOS(DiscretionaryPrev_deleverage, DiscretionaryBCI_deleverage))</f>
        <v>0</v>
      </c>
      <c r="D88" s="9">
        <v>0</v>
      </c>
      <c r="E88" s="9">
        <v>0</v>
      </c>
      <c r="F88" s="9">
        <v>0</v>
      </c>
      <c r="G88" s="9">
        <v>0</v>
      </c>
    </row>
    <row r="89" spans="1:7">
      <c r="A89" s="4" t="s">
        <v>458</v>
      </c>
      <c r="B89" s="5" t="s">
        <v>525</v>
      </c>
      <c r="C89" s="9" cm="1">
        <f t="array" ref="C89:G89">FN.SEEDROW(0, IN.RATE_deleverage("excess cash interest rate") * AvgExcessCash_deleverage)</f>
        <v>0</v>
      </c>
      <c r="D89" s="9">
        <v>0</v>
      </c>
      <c r="E89" s="9">
        <v>0</v>
      </c>
      <c r="F89" s="9">
        <v>0</v>
      </c>
      <c r="G89" s="9">
        <v>0</v>
      </c>
    </row>
    <row r="90" spans="1:7">
      <c r="A90" s="4" t="s">
        <v>456</v>
      </c>
      <c r="B90" s="5" t="s">
        <v>524</v>
      </c>
      <c r="C90" s="9" cm="1">
        <f t="array" ref="C90:G90">FN.SEEDROW(0, FN.AVGNEG(DiscretionaryPrev_deleverage, DiscretionaryBCI_deleverage))</f>
        <v>0</v>
      </c>
      <c r="D90" s="9">
        <v>0</v>
      </c>
      <c r="E90" s="9">
        <v>0</v>
      </c>
      <c r="F90" s="9">
        <v>0</v>
      </c>
      <c r="G90" s="9">
        <v>0</v>
      </c>
    </row>
    <row r="91" spans="1:7">
      <c r="A91" s="4" t="s">
        <v>460</v>
      </c>
      <c r="B91" s="5" t="s">
        <v>526</v>
      </c>
      <c r="C91" s="9" cm="1">
        <f t="array" ref="C91:G91">FN.SEEDROW(0, IN.RATE_deleverage("overdraft interest rate") * AvgOverdraft_deleverage)</f>
        <v>0</v>
      </c>
      <c r="D91" s="9">
        <v>0</v>
      </c>
      <c r="E91" s="9">
        <v>0</v>
      </c>
      <c r="F91" s="9">
        <v>0</v>
      </c>
      <c r="G91" s="9">
        <v>0</v>
      </c>
    </row>
    <row r="92" spans="1:7">
      <c r="A92" s="4" t="s">
        <v>462</v>
      </c>
      <c r="B92" s="5" t="s">
        <v>527</v>
      </c>
      <c r="C92" s="9" cm="1">
        <f t="array" ref="C92:G92">FN.SEEDROW(0, CashInterestIncome_deleverage - OverdraftInterestExpense_deleverage)</f>
        <v>0</v>
      </c>
      <c r="D92" s="9">
        <v>0</v>
      </c>
      <c r="E92" s="9">
        <v>0</v>
      </c>
      <c r="F92" s="9">
        <v>0</v>
      </c>
      <c r="G92" s="9">
        <v>0</v>
      </c>
    </row>
    <row r="93" spans="1:7">
      <c r="A93" s="4" t="s">
        <v>388</v>
      </c>
      <c r="B93" s="5" t="s">
        <v>516</v>
      </c>
      <c r="C93" s="9" cm="1">
        <f t="array" ref="C93:G93">FN.SEEDROW(0, NetCashInterest_deleverage * (1 - IN.RATE_deleverage("tax rate")))</f>
        <v>0</v>
      </c>
      <c r="D93" s="9">
        <v>0</v>
      </c>
      <c r="E93" s="9">
        <v>0</v>
      </c>
      <c r="F93" s="9">
        <v>0</v>
      </c>
      <c r="G93" s="9">
        <v>0</v>
      </c>
    </row>
    <row r="94" spans="1:7">
      <c r="A94" s="4" t="s">
        <v>392</v>
      </c>
      <c r="B94" s="5" t="s">
        <v>421</v>
      </c>
      <c r="C94" s="9" cm="1">
        <f t="array" ref="C94:G94">NCFBCI_deleverage + AfterTaxCashInterest_deleverage</f>
        <v>0</v>
      </c>
      <c r="D94" s="9">
        <v>0</v>
      </c>
      <c r="E94" s="9">
        <v>0</v>
      </c>
      <c r="F94" s="9">
        <v>0</v>
      </c>
      <c r="G94" s="9">
        <v>0</v>
      </c>
    </row>
    <row r="95" spans="1:7">
      <c r="A95" s="4" t="s">
        <v>444</v>
      </c>
      <c r="B95" s="5" t="s">
        <v>518</v>
      </c>
      <c r="C95" s="9" cm="1">
        <f t="array" ref="C95:G95">NetCashPosition_deleverage - BS!MinimumOperatingCash_deleverage</f>
        <v>0</v>
      </c>
      <c r="D95" s="9">
        <v>0</v>
      </c>
      <c r="E95" s="9">
        <v>0</v>
      </c>
      <c r="F95" s="9">
        <v>0</v>
      </c>
      <c r="G95" s="9">
        <v>0</v>
      </c>
    </row>
    <row r="96" spans="1:7">
      <c r="A96" s="4" t="s">
        <v>247</v>
      </c>
      <c r="B96" s="5" t="s">
        <v>316</v>
      </c>
      <c r="C96" s="9" cm="1">
        <f t="array" ref="C96:G96">IF(DiscretionaryCash_deleverage &gt; 0, DiscretionaryCash_deleverage, 0)</f>
        <v>0</v>
      </c>
      <c r="D96" s="9">
        <v>0</v>
      </c>
      <c r="E96" s="9">
        <v>0</v>
      </c>
      <c r="F96" s="9">
        <v>0</v>
      </c>
      <c r="G96" s="9">
        <v>0</v>
      </c>
    </row>
    <row r="97" spans="1:7">
      <c r="A97" s="4" t="s">
        <v>253</v>
      </c>
      <c r="B97" s="5" t="s">
        <v>319</v>
      </c>
      <c r="C97" s="9" cm="1">
        <f t="array" ref="C97:G97">IF(DiscretionaryCash_deleverage &lt; 0, -DiscretionaryCash_deleverage, 0)</f>
        <v>0</v>
      </c>
      <c r="D97" s="9">
        <v>0</v>
      </c>
      <c r="E97" s="9">
        <v>0</v>
      </c>
      <c r="F97" s="9">
        <v>0</v>
      </c>
      <c r="G97" s="9">
        <v>0</v>
      </c>
    </row>
    <row r="98" spans="1:7">
      <c r="A98" s="4" t="s">
        <v>466</v>
      </c>
      <c r="B98" s="5" t="s">
        <v>529</v>
      </c>
      <c r="C98" s="9" cm="1">
        <f t="array" ref="C98:G98">BS!DeltaAccountsReceivable_deleverage + BS!DeltaRawMaterials_deleverage + BS!DeltaFinishedGoods_deleverage + BS!DeltaOtherAccountsPayable_deleverage + BS!DeltaWagesPayable_deleverage</f>
        <v>0</v>
      </c>
      <c r="D98" s="9">
        <v>0</v>
      </c>
      <c r="E98" s="9">
        <v>0</v>
      </c>
      <c r="F98" s="9">
        <v>0</v>
      </c>
      <c r="G98" s="9">
        <v>0</v>
      </c>
    </row>
    <row r="99" spans="1:7">
      <c r="A99" s="4" t="s">
        <v>468</v>
      </c>
      <c r="B99" s="5" t="s">
        <v>596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</row>
    <row r="100" spans="1:7">
      <c r="A100" s="4" t="s">
        <v>470</v>
      </c>
      <c r="B100" s="5" t="s">
        <v>597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</row>
    <row r="101" spans="1:7">
      <c r="A101" s="4" t="s">
        <v>472</v>
      </c>
      <c r="B101" s="5" t="s">
        <v>532</v>
      </c>
      <c r="C101" s="9" cm="1">
        <f t="array" ref="C101:G101">FN.SEEDROW(0, (BS!DeltaMinimumOperatingCash_deleverage + (ExcessCash_deleverage - FN.PREV(ExcessCash_deleverage))) - (BankOverdraft_deleverage - FN.PREV(BankOverdraft_deleverage)))</f>
        <v>0</v>
      </c>
      <c r="D101" s="9">
        <v>0</v>
      </c>
      <c r="E101" s="9">
        <v>0</v>
      </c>
      <c r="F101" s="9">
        <v>0</v>
      </c>
      <c r="G101" s="9">
        <v>0</v>
      </c>
    </row>
    <row r="102" spans="1:7">
      <c r="A102" s="4" t="s">
        <v>474</v>
      </c>
      <c r="B102" s="5" t="s">
        <v>533</v>
      </c>
      <c r="C102" s="8" cm="1">
        <f t="array" ref="C102:G102">FN.SEEDROW(0, NCF_deleverage - NCFViaCashDecomposition_deleverage)</f>
        <v>0</v>
      </c>
      <c r="D102" s="8">
        <v>0</v>
      </c>
      <c r="E102" s="8">
        <v>0</v>
      </c>
      <c r="F102" s="8">
        <v>0</v>
      </c>
      <c r="G102" s="8">
        <v>0</v>
      </c>
    </row>
    <row r="103" spans="1:7">
      <c r="A103" s="4" t="s">
        <v>484</v>
      </c>
      <c r="B103" s="5" t="s">
        <v>598</v>
      </c>
      <c r="C103" s="9" cm="1">
        <f t="array" ref="C103:G103">FN.SEEDROW(0, CashInterestIncome_deleverage - 'SCF recursive'!CashInterestIncome_deleverage)</f>
        <v>0</v>
      </c>
      <c r="D103" s="9">
        <v>0</v>
      </c>
      <c r="E103" s="9">
        <v>0</v>
      </c>
      <c r="F103" s="9">
        <v>0</v>
      </c>
      <c r="G103" s="9">
        <v>0</v>
      </c>
    </row>
    <row r="104" spans="1:7">
      <c r="A104" s="4" t="s">
        <v>486</v>
      </c>
      <c r="B104" s="5" t="s">
        <v>599</v>
      </c>
      <c r="C104" s="9" cm="1">
        <f t="array" ref="C104:G104">DiscretionaryCash_deleverage - 'SCF recursive'!DiscretionaryCash_deleverage</f>
        <v>0</v>
      </c>
      <c r="D104" s="9">
        <v>0</v>
      </c>
      <c r="E104" s="9">
        <v>0</v>
      </c>
      <c r="F104" s="9">
        <v>0</v>
      </c>
      <c r="G104" s="9">
        <v>0</v>
      </c>
    </row>
    <row r="105" spans="1:7">
      <c r="A105" s="4" t="s">
        <v>448</v>
      </c>
      <c r="B105" s="5" t="s">
        <v>600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</row>
    <row r="106" spans="1:7">
      <c r="A106" s="4" t="s">
        <v>450</v>
      </c>
      <c r="B106" s="5" t="s">
        <v>601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</row>
    <row r="107" spans="1:7">
      <c r="A107" s="4" t="s">
        <v>452</v>
      </c>
      <c r="B107" s="5" t="s">
        <v>602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</row>
    <row r="111" spans="1:7">
      <c r="A111" s="3" t="s">
        <v>115</v>
      </c>
    </row>
    <row r="112" spans="1:7">
      <c r="A112" s="7" t="s">
        <v>540</v>
      </c>
      <c r="B112" s="5" t="s">
        <v>383</v>
      </c>
    </row>
    <row r="113" spans="1:2">
      <c r="A113" s="7" t="s">
        <v>541</v>
      </c>
      <c r="B113" s="5" t="s">
        <v>259</v>
      </c>
    </row>
    <row r="114" spans="1:2">
      <c r="A114" s="7" t="s">
        <v>542</v>
      </c>
      <c r="B114" s="5" t="s">
        <v>257</v>
      </c>
    </row>
    <row r="115" spans="1:2">
      <c r="A115" s="7" t="s">
        <v>543</v>
      </c>
      <c r="B115" s="5" t="s">
        <v>438</v>
      </c>
    </row>
    <row r="116" spans="1:2">
      <c r="A116" s="7" t="s">
        <v>544</v>
      </c>
      <c r="B116" s="5" t="s">
        <v>440</v>
      </c>
    </row>
    <row r="117" spans="1:2">
      <c r="A117" s="7" t="s">
        <v>547</v>
      </c>
      <c r="B117" s="5" t="s">
        <v>443</v>
      </c>
    </row>
    <row r="118" spans="1:2">
      <c r="A118" s="7" t="s">
        <v>548</v>
      </c>
      <c r="B118" s="5" t="s">
        <v>443</v>
      </c>
    </row>
    <row r="119" spans="1:2">
      <c r="A119" s="7" t="s">
        <v>603</v>
      </c>
      <c r="B119" s="5" t="s">
        <v>570</v>
      </c>
    </row>
    <row r="120" spans="1:2">
      <c r="A120" s="7" t="s">
        <v>604</v>
      </c>
      <c r="B120" s="5" t="s">
        <v>570</v>
      </c>
    </row>
    <row r="121" spans="1:2">
      <c r="A121" s="7" t="s">
        <v>552</v>
      </c>
      <c r="B121" s="5" t="s">
        <v>447</v>
      </c>
    </row>
    <row r="122" spans="1:2">
      <c r="A122" s="7" t="s">
        <v>605</v>
      </c>
      <c r="B122" s="5" t="s">
        <v>571</v>
      </c>
    </row>
    <row r="123" spans="1:2">
      <c r="A123" s="7" t="s">
        <v>606</v>
      </c>
      <c r="B123" s="5" t="s">
        <v>572</v>
      </c>
    </row>
    <row r="124" spans="1:2">
      <c r="A124" s="7" t="s">
        <v>607</v>
      </c>
      <c r="B124" s="5" t="s">
        <v>573</v>
      </c>
    </row>
    <row r="125" spans="1:2">
      <c r="A125" s="7" t="s">
        <v>561</v>
      </c>
      <c r="B125" s="5" t="s">
        <v>465</v>
      </c>
    </row>
    <row r="126" spans="1:2">
      <c r="A126" s="7" t="s">
        <v>608</v>
      </c>
      <c r="B126" s="5" t="s">
        <v>455</v>
      </c>
    </row>
    <row r="127" spans="1:2">
      <c r="A127" s="7" t="s">
        <v>609</v>
      </c>
      <c r="B127" s="5" t="s">
        <v>459</v>
      </c>
    </row>
    <row r="128" spans="1:2">
      <c r="A128" s="7" t="s">
        <v>610</v>
      </c>
      <c r="B128" s="5" t="s">
        <v>457</v>
      </c>
    </row>
    <row r="129" spans="1:2">
      <c r="A129" s="7" t="s">
        <v>611</v>
      </c>
      <c r="B129" s="5" t="s">
        <v>461</v>
      </c>
    </row>
    <row r="130" spans="1:2">
      <c r="A130" s="7" t="s">
        <v>560</v>
      </c>
      <c r="B130" s="5" t="s">
        <v>463</v>
      </c>
    </row>
    <row r="131" spans="1:2">
      <c r="A131" s="7" t="s">
        <v>545</v>
      </c>
      <c r="B131" s="5" t="s">
        <v>441</v>
      </c>
    </row>
    <row r="132" spans="1:2">
      <c r="A132" s="7" t="s">
        <v>546</v>
      </c>
      <c r="B132" s="5" t="s">
        <v>393</v>
      </c>
    </row>
    <row r="133" spans="1:2">
      <c r="A133" s="7" t="s">
        <v>549</v>
      </c>
      <c r="B133" s="5" t="s">
        <v>445</v>
      </c>
    </row>
    <row r="134" spans="1:2">
      <c r="A134" s="7" t="s">
        <v>550</v>
      </c>
      <c r="B134" s="5" t="s">
        <v>248</v>
      </c>
    </row>
    <row r="135" spans="1:2">
      <c r="A135" s="7" t="s">
        <v>551</v>
      </c>
      <c r="B135" s="5" t="s">
        <v>254</v>
      </c>
    </row>
    <row r="136" spans="1:2">
      <c r="A136" s="7" t="s">
        <v>562</v>
      </c>
      <c r="B136" s="5" t="s">
        <v>467</v>
      </c>
    </row>
    <row r="137" spans="1:2">
      <c r="A137" s="7" t="s">
        <v>565</v>
      </c>
      <c r="B137" s="5" t="s">
        <v>473</v>
      </c>
    </row>
    <row r="138" spans="1:2">
      <c r="A138" s="7" t="s">
        <v>566</v>
      </c>
      <c r="B138" s="5" t="s">
        <v>475</v>
      </c>
    </row>
    <row r="139" spans="1:2">
      <c r="A139" s="7" t="s">
        <v>612</v>
      </c>
      <c r="B139" s="5" t="s">
        <v>576</v>
      </c>
    </row>
    <row r="140" spans="1:2">
      <c r="A140" s="7" t="s">
        <v>613</v>
      </c>
      <c r="B140" s="5" t="s">
        <v>577</v>
      </c>
    </row>
    <row r="142" spans="1:2">
      <c r="A142" s="2" t="s">
        <v>614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T781"/>
  <sheetViews>
    <sheetView workbookViewId="0"/>
  </sheetViews>
  <sheetFormatPr defaultRowHeight="15"/>
  <cols>
    <col min="1" max="1" width="34.7109375" customWidth="1"/>
    <col min="2" max="26" width="14.7109375" customWidth="1"/>
  </cols>
  <sheetData>
    <row r="1" spans="1:20">
      <c r="A1" s="1" t="s">
        <v>615</v>
      </c>
    </row>
    <row r="2" spans="1:20">
      <c r="A2" s="2" t="s">
        <v>616</v>
      </c>
    </row>
    <row r="3" spans="1:20">
      <c r="A3" s="3" t="s">
        <v>617</v>
      </c>
      <c r="B3" s="8">
        <v>1E-09</v>
      </c>
    </row>
    <row r="4" spans="1:20">
      <c r="A4" s="3" t="s">
        <v>687</v>
      </c>
      <c r="B4" s="8">
        <f>MAX(FN.MAXDEV(SalesCOGS_base, SalesCOGS_baseExp), FN.MAXDEV(LastActuals, LastActualsExp), FN.MAXDEV(Assumpt_base, Assumpt_baseExp), FN.MAXDEV(Rates_base, Rates_baseExp), FN.MAXDEV(FinDebt_base, FinDebt_baseExp), FN.MAXDEV(IS_base, IS_baseExp), FN.MAXDEV(BS_base, BS_baseExp), FN.MAXDEV(BSdelta_base, BSdelta_baseExp), FN.MAXDEV(FCF_base, FCF_baseExp), FN.MAXDEV(SCFrecursive_base, SCFrecursive_baseExp), FN.MAXDEV(SCF_base, SCF_baseExp), FN.MAXDEV(Unbalance_base, Unbalance_baseExp), FN.MAXDEV(ParityA_base, ParityA_baseExp), FN.MAXDEV(ParityB_base, ParityB_baseExp), FN.MAXDEV(SCFParityB_base, SCFParityB_baseExp), FN.MAXDEV(SalesCOGS_payout, SalesCOGS_payoutExp), FN.MAXDEV(Assumpt_payout, Assumpt_payoutExp), FN.MAXDEV(Rates_payout, Rates_payoutExp), FN.MAXDEV(FinDebt_payout, FinDebt_payoutExp), FN.MAXDEV(IS_payout, IS_payoutExp), FN.MAXDEV(BS_payout, BS_payoutExp), FN.MAXDEV(BSdelta_payout, BSdelta_payoutExp), FN.MAXDEV(FCF_payout, FCF_payoutExp), FN.MAXDEV(SCFrecursive_payout, SCFrecursive_payoutExp), FN.MAXDEV(SCF_payout, SCF_payoutExp), FN.MAXDEV(Unbalance_payout, Unbalance_payoutExp), FN.MAXDEV(ParityA_payout, ParityA_payoutExp), FN.MAXDEV(ParityB_payout, ParityB_payoutExp), FN.MAXDEV(SCFParityB_payout, SCFParityB_payoutExp), FN.MAXDEV(SalesCOGS_deleverage, SalesCOGS_deleverageExp), FN.MAXDEV(Assumpt_deleverage, Assumpt_deleverageExp), FN.MAXDEV(Rates_deleverage, Rates_deleverageExp), FN.MAXDEV(FinDebt_deleverage, FinDebt_deleverageExp), FN.MAXDEV(IS_deleverage, IS_deleverageExp), FN.MAXDEV(BS_deleverage, BS_deleverageExp), FN.MAXDEV(BSdelta_deleverage, BSdelta_deleverageExp), FN.MAXDEV(FCF_deleverage, FCF_deleverageExp), FN.MAXDEV(SCFrecursive_deleverage, SCFrecursive_deleverageExp), FN.MAXDEV(SCF_deleverage, SCF_deleverageExp), FN.MAXDEV(Unbalance_deleverage, Unbalance_deleverageExp), FN.MAXDEV(ParityA_deleverage, ParityA_deleverageExp), FN.MAXDEV(ParityB_deleverage, ParityB_deleverageExp), FN.MAXDEV(SCFParityB_deleverage, SCFParityB_deleverageExp))</f>
        <v>0</v>
      </c>
      <c r="C4" s="3" t="s">
        <v>635</v>
      </c>
      <c r="D4" s="12">
        <f>IF(MAX(FN.MAXDEV(SalesCOGS_base, SalesCOGS_baseExp), FN.MAXDEV(LastActuals, LastActualsExp), FN.MAXDEV(Assumpt_base, Assumpt_baseExp), FN.MAXDEV(Rates_base, Rates_baseExp), FN.MAXDEV(FinDebt_base, FinDebt_baseExp), FN.MAXDEV(IS_base, IS_baseExp), FN.MAXDEV(BS_base, BS_baseExp), FN.MAXDEV(BSdelta_base, BSdelta_baseExp), FN.MAXDEV(FCF_base, FCF_baseExp), FN.MAXDEV(SCFrecursive_base, SCFrecursive_baseExp), FN.MAXDEV(SCF_base, SCF_baseExp), FN.MAXDEV(Unbalance_base, Unbalance_baseExp), FN.MAXDEV(ParityA_base, ParityA_baseExp), FN.MAXDEV(ParityB_base, ParityB_baseExp), FN.MAXDEV(SCFParityB_base, SCFParityB_baseExp), FN.MAXDEV(SalesCOGS_payout, SalesCOGS_payoutExp), FN.MAXDEV(Assumpt_payout, Assumpt_payoutExp), FN.MAXDEV(Rates_payout, Rates_payoutExp), FN.MAXDEV(FinDebt_payout, FinDebt_payoutExp), FN.MAXDEV(IS_payout, IS_payoutExp), FN.MAXDEV(BS_payout, BS_payoutExp), FN.MAXDEV(BSdelta_payout, BSdelta_payoutExp), FN.MAXDEV(FCF_payout, FCF_payoutExp), FN.MAXDEV(SCFrecursive_payout, SCFrecursive_payoutExp), FN.MAXDEV(SCF_payout, SCF_payoutExp), FN.MAXDEV(Unbalance_payout, Unbalance_payoutExp), FN.MAXDEV(ParityA_payout, ParityA_payoutExp), FN.MAXDEV(ParityB_payout, ParityB_payoutExp), FN.MAXDEV(SCFParityB_payout, SCFParityB_payoutExp), FN.MAXDEV(SalesCOGS_deleverage, SalesCOGS_deleverageExp), FN.MAXDEV(Assumpt_deleverage, Assumpt_deleverageExp), FN.MAXDEV(Rates_deleverage, Rates_deleverageExp), FN.MAXDEV(FinDebt_deleverage, FinDebt_deleverageExp), FN.MAXDEV(IS_deleverage, IS_deleverageExp), FN.MAXDEV(BS_deleverage, BS_deleverageExp), FN.MAXDEV(BSdelta_deleverage, BSdelta_deleverageExp), FN.MAXDEV(FCF_deleverage, FCF_deleverageExp), FN.MAXDEV(SCFrecursive_deleverage, SCFrecursive_deleverageExp), FN.MAXDEV(SCF_deleverage, SCF_deleverageExp), FN.MAXDEV(Unbalance_deleverage, Unbalance_deleverageExp), FN.MAXDEV(ParityA_deleverage, ParityA_deleverageExp), FN.MAXDEV(ParityB_deleverage, ParityB_deleverageExp), FN.MAXDEV(SCFParityB_deleverage, SCFParityB_deleverageExp)) &lt;= Tol, "PASS", "FAIL")</f>
        <v/>
      </c>
    </row>
    <row r="5" spans="1:20">
      <c r="A5" s="2" t="s">
        <v>688</v>
      </c>
    </row>
    <row r="6" spans="1:20">
      <c r="A6" s="3" t="s">
        <v>618</v>
      </c>
      <c r="B6" s="4" t="s">
        <v>619</v>
      </c>
      <c r="C6" s="8">
        <f>FN.MAXDEV(SalesCOGS_base, SalesCOGS_baseExp)</f>
        <v>0</v>
      </c>
      <c r="D6" s="12">
        <f>IF(FN.MAXDEV(SalesCOGS_base, SalesCOGS_baseExp) &lt;= Tol, "PASS", "FAIL")</f>
        <v/>
      </c>
    </row>
    <row r="7" spans="1:20">
      <c r="A7" s="3" t="s">
        <v>5</v>
      </c>
      <c r="B7" s="3" t="s">
        <v>620</v>
      </c>
      <c r="C7" s="3" t="s">
        <v>623</v>
      </c>
      <c r="D7" s="3" t="s">
        <v>626</v>
      </c>
      <c r="E7" s="3" t="s">
        <v>629</v>
      </c>
      <c r="F7" s="3" t="s">
        <v>632</v>
      </c>
      <c r="H7" s="3" t="s">
        <v>621</v>
      </c>
      <c r="I7" s="3" t="s">
        <v>624</v>
      </c>
      <c r="J7" s="3" t="s">
        <v>627</v>
      </c>
      <c r="K7" s="3" t="s">
        <v>630</v>
      </c>
      <c r="L7" s="3" t="s">
        <v>633</v>
      </c>
      <c r="N7" s="3" t="s">
        <v>622</v>
      </c>
      <c r="O7" s="3" t="s">
        <v>625</v>
      </c>
      <c r="P7" s="3" t="s">
        <v>628</v>
      </c>
      <c r="Q7" s="3" t="s">
        <v>631</v>
      </c>
      <c r="R7" s="3" t="s">
        <v>634</v>
      </c>
      <c r="T7" s="3" t="s">
        <v>635</v>
      </c>
    </row>
    <row r="8" spans="1:20">
      <c r="A8" s="4" t="s">
        <v>45</v>
      </c>
      <c r="B8" s="9">
        <v>10000</v>
      </c>
      <c r="C8" s="9">
        <v>10500</v>
      </c>
      <c r="D8" s="9">
        <v>11025</v>
      </c>
      <c r="E8" s="9">
        <v>11576.25</v>
      </c>
      <c r="F8" s="9">
        <v>12155.0625</v>
      </c>
      <c r="H8" s="9" cm="1">
        <f t="array" ref="H8:L13">SalesCOGS_base</f>
        <v>0</v>
      </c>
      <c r="I8" s="9">
        <v>0</v>
      </c>
      <c r="J8" s="9">
        <v>0</v>
      </c>
      <c r="K8" s="9">
        <v>0</v>
      </c>
      <c r="L8" s="9">
        <v>0</v>
      </c>
      <c r="N8" s="8" cm="1">
        <f t="array" ref="N8:R13">FN.DEV(SalesCOGS_base, SalesCOGS_baseExp)</f>
        <v>0</v>
      </c>
      <c r="O8" s="8">
        <v>0</v>
      </c>
      <c r="P8" s="8">
        <v>0</v>
      </c>
      <c r="Q8" s="8">
        <v>0</v>
      </c>
      <c r="R8" s="8">
        <v>0</v>
      </c>
      <c r="T8" s="12" cm="1">
        <f t="array" ref="T8:T13">_xlfn.BYROW(FN.DEV(SalesCOGS_base, SalesCOGS_baseExp), _xlfn.LAMBDA(_xlpm.dev_row, IF(MAX(_xlpm.dev_row) &lt;= Tol, "PASS", "FAIL")))</f>
        <v>0</v>
      </c>
    </row>
    <row r="9" spans="1:20">
      <c r="A9" s="4" t="s">
        <v>57</v>
      </c>
      <c r="B9" s="9">
        <v>0.1</v>
      </c>
      <c r="C9" s="9">
        <v>0.11</v>
      </c>
      <c r="D9" s="9">
        <v>0.121</v>
      </c>
      <c r="E9" s="9">
        <v>0.1331</v>
      </c>
      <c r="F9" s="9">
        <v>0.14641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T9" s="12">
        <v>0</v>
      </c>
    </row>
    <row r="10" spans="1:20">
      <c r="A10" s="4" t="s">
        <v>44</v>
      </c>
      <c r="B10" s="9">
        <v>1000</v>
      </c>
      <c r="C10" s="9">
        <v>1155</v>
      </c>
      <c r="D10" s="9">
        <v>1334.025</v>
      </c>
      <c r="E10" s="9">
        <v>1540.798875</v>
      </c>
      <c r="F10" s="9">
        <v>1779.622700625001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T10" s="12">
        <v>0</v>
      </c>
    </row>
    <row r="11" spans="1:20">
      <c r="A11" s="4" t="s">
        <v>60</v>
      </c>
      <c r="B11" s="9">
        <v>75</v>
      </c>
      <c r="C11" s="9">
        <v>78</v>
      </c>
      <c r="D11" s="9">
        <v>81.12</v>
      </c>
      <c r="E11" s="9">
        <v>84.3648</v>
      </c>
      <c r="F11" s="9">
        <v>87.73939200000001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T11" s="12">
        <v>0</v>
      </c>
    </row>
    <row r="12" spans="1:20">
      <c r="A12" s="4" t="s">
        <v>63</v>
      </c>
      <c r="B12" s="9">
        <v>16</v>
      </c>
      <c r="C12" s="9">
        <v>16.16</v>
      </c>
      <c r="D12" s="9">
        <v>16.3216</v>
      </c>
      <c r="E12" s="9">
        <v>16.484816</v>
      </c>
      <c r="F12" s="9">
        <v>16.64966416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T12" s="12">
        <v>0</v>
      </c>
    </row>
    <row r="13" spans="1:20">
      <c r="A13" s="4" t="s">
        <v>66</v>
      </c>
      <c r="B13" s="9">
        <v>13.6</v>
      </c>
      <c r="C13" s="9">
        <v>14.144</v>
      </c>
      <c r="D13" s="9">
        <v>14.70976</v>
      </c>
      <c r="E13" s="9">
        <v>15.2981504</v>
      </c>
      <c r="F13" s="9">
        <v>15.910076416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T13" s="12">
        <v>0</v>
      </c>
    </row>
    <row r="16" spans="1:20">
      <c r="A16" s="3" t="s">
        <v>636</v>
      </c>
      <c r="B16" s="4" t="s">
        <v>619</v>
      </c>
      <c r="C16" s="8">
        <f>FN.MAXDEV(LastActuals, LastActualsExp)</f>
        <v>0</v>
      </c>
      <c r="D16" s="12">
        <f>IF(FN.MAXDEV(LastActuals, LastActualsExp) &lt;= Tol, "PASS", "FAIL")</f>
        <v/>
      </c>
    </row>
    <row r="17" spans="1:8">
      <c r="A17" s="3" t="s">
        <v>5</v>
      </c>
      <c r="B17" s="3" t="s">
        <v>637</v>
      </c>
      <c r="D17" s="3" t="s">
        <v>638</v>
      </c>
      <c r="F17" s="3" t="s">
        <v>639</v>
      </c>
      <c r="H17" s="3" t="s">
        <v>635</v>
      </c>
    </row>
    <row r="18" spans="1:8">
      <c r="A18" s="4" t="s">
        <v>71</v>
      </c>
      <c r="B18" s="9">
        <v>75000</v>
      </c>
      <c r="D18" s="9" cm="1">
        <f t="array" ref="D18:D31">LastActuals</f>
        <v>0</v>
      </c>
      <c r="F18" s="8" cm="1">
        <f t="array" ref="F18:F31">FN.DEV(LastActuals, LastActualsExp)</f>
        <v>0</v>
      </c>
      <c r="H18" s="12" cm="1">
        <f t="array" ref="H18:H31">_xlfn.BYROW(FN.DEV(LastActuals, LastActualsExp), _xlfn.LAMBDA(_xlpm.dev_row, IF(MAX(_xlpm.dev_row) &lt;= Tol, "PASS", "FAIL")))</f>
        <v>0</v>
      </c>
    </row>
    <row r="19" spans="1:8">
      <c r="A19" s="4" t="s">
        <v>72</v>
      </c>
      <c r="B19" s="9">
        <v>-16000</v>
      </c>
      <c r="D19" s="9">
        <v>0</v>
      </c>
      <c r="F19" s="8">
        <v>0</v>
      </c>
      <c r="H19" s="12">
        <v>0</v>
      </c>
    </row>
    <row r="20" spans="1:8">
      <c r="A20" s="4" t="s">
        <v>73</v>
      </c>
      <c r="B20" s="9">
        <v>-13600</v>
      </c>
      <c r="D20" s="9">
        <v>0</v>
      </c>
      <c r="F20" s="8">
        <v>0</v>
      </c>
      <c r="H20" s="12">
        <v>0</v>
      </c>
    </row>
    <row r="21" spans="1:8">
      <c r="A21" s="4" t="s">
        <v>74</v>
      </c>
      <c r="B21" s="9">
        <v>-9800</v>
      </c>
      <c r="D21" s="9">
        <v>0</v>
      </c>
      <c r="F21" s="8">
        <v>0</v>
      </c>
      <c r="H21" s="12">
        <v>0</v>
      </c>
    </row>
    <row r="22" spans="1:8">
      <c r="A22" s="4" t="s">
        <v>75</v>
      </c>
      <c r="B22" s="9">
        <v>-16500</v>
      </c>
      <c r="D22" s="9">
        <v>0</v>
      </c>
      <c r="F22" s="8">
        <v>0</v>
      </c>
      <c r="H22" s="12">
        <v>0</v>
      </c>
    </row>
    <row r="23" spans="1:8">
      <c r="A23" s="4" t="s">
        <v>76</v>
      </c>
      <c r="B23" s="9">
        <v>-4580</v>
      </c>
      <c r="D23" s="9">
        <v>0</v>
      </c>
      <c r="F23" s="8">
        <v>0</v>
      </c>
      <c r="H23" s="12">
        <v>0</v>
      </c>
    </row>
    <row r="24" spans="1:8">
      <c r="A24" s="4" t="s">
        <v>77</v>
      </c>
      <c r="B24" s="9">
        <v>-1380</v>
      </c>
      <c r="D24" s="9">
        <v>0</v>
      </c>
      <c r="F24" s="8">
        <v>0</v>
      </c>
      <c r="H24" s="12">
        <v>0</v>
      </c>
    </row>
    <row r="25" spans="1:8">
      <c r="A25" s="4" t="s">
        <v>44</v>
      </c>
      <c r="B25" s="9">
        <v>1000</v>
      </c>
      <c r="D25" s="9">
        <v>0</v>
      </c>
      <c r="F25" s="8">
        <v>0</v>
      </c>
      <c r="H25" s="12">
        <v>0</v>
      </c>
    </row>
    <row r="26" spans="1:8">
      <c r="A26" s="4" t="s">
        <v>45</v>
      </c>
      <c r="B26" s="9">
        <v>10000</v>
      </c>
      <c r="D26" s="9">
        <v>0</v>
      </c>
      <c r="F26" s="8">
        <v>0</v>
      </c>
      <c r="H26" s="12">
        <v>0</v>
      </c>
    </row>
    <row r="27" spans="1:8">
      <c r="A27" s="4" t="s">
        <v>78</v>
      </c>
      <c r="B27" s="9">
        <v>2022</v>
      </c>
      <c r="D27" s="9">
        <v>0</v>
      </c>
      <c r="F27" s="8">
        <v>0</v>
      </c>
      <c r="H27" s="12">
        <v>0</v>
      </c>
    </row>
    <row r="28" spans="1:8">
      <c r="A28" s="4" t="s">
        <v>57</v>
      </c>
      <c r="B28" s="9">
        <v>0.1</v>
      </c>
      <c r="D28" s="9">
        <v>0</v>
      </c>
      <c r="F28" s="8">
        <v>0</v>
      </c>
      <c r="H28" s="12">
        <v>0</v>
      </c>
    </row>
    <row r="29" spans="1:8">
      <c r="A29" s="4" t="s">
        <v>60</v>
      </c>
      <c r="B29" s="9">
        <v>75</v>
      </c>
      <c r="D29" s="9">
        <v>0</v>
      </c>
      <c r="F29" s="8">
        <v>0</v>
      </c>
      <c r="H29" s="12">
        <v>0</v>
      </c>
    </row>
    <row r="30" spans="1:8">
      <c r="A30" s="4" t="s">
        <v>63</v>
      </c>
      <c r="B30" s="9">
        <v>16</v>
      </c>
      <c r="D30" s="9">
        <v>0</v>
      </c>
      <c r="F30" s="8">
        <v>0</v>
      </c>
      <c r="H30" s="12">
        <v>0</v>
      </c>
    </row>
    <row r="31" spans="1:8">
      <c r="A31" s="4" t="s">
        <v>66</v>
      </c>
      <c r="B31" s="9">
        <v>13.6</v>
      </c>
      <c r="D31" s="9">
        <v>0</v>
      </c>
      <c r="F31" s="8">
        <v>0</v>
      </c>
      <c r="H31" s="12">
        <v>0</v>
      </c>
    </row>
    <row r="34" spans="1:8">
      <c r="A34" s="3" t="s">
        <v>640</v>
      </c>
      <c r="B34" s="4" t="s">
        <v>619</v>
      </c>
      <c r="C34" s="8">
        <f>FN.MAXDEV(Assumpt_base, Assumpt_baseExp)</f>
        <v>0</v>
      </c>
      <c r="D34" s="12">
        <f>IF(FN.MAXDEV(Assumpt_base, Assumpt_baseExp) &lt;= Tol, "PASS", "FAIL")</f>
        <v/>
      </c>
    </row>
    <row r="35" spans="1:8">
      <c r="A35" s="3" t="s">
        <v>5</v>
      </c>
      <c r="B35" s="3" t="s">
        <v>637</v>
      </c>
      <c r="D35" s="3" t="s">
        <v>638</v>
      </c>
      <c r="F35" s="3" t="s">
        <v>639</v>
      </c>
      <c r="H35" s="3" t="s">
        <v>635</v>
      </c>
    </row>
    <row r="36" spans="1:8">
      <c r="A36" s="4" t="s">
        <v>26</v>
      </c>
      <c r="B36" s="9">
        <v>196000</v>
      </c>
      <c r="D36" s="9" cm="1">
        <f t="array" ref="D36:D66">Assumpt_base</f>
        <v>0</v>
      </c>
      <c r="F36" s="8" cm="1">
        <f t="array" ref="F36:F66">FN.DEV(Assumpt_base, Assumpt_baseExp)</f>
        <v>0</v>
      </c>
      <c r="H36" s="12" cm="1">
        <f t="array" ref="H36:H66">_xlfn.BYROW(FN.DEV(Assumpt_base, Assumpt_baseExp), _xlfn.LAMBDA(_xlpm.dev_row, IF(MAX(_xlpm.dev_row) &lt;= Tol, "PASS", "FAIL")))</f>
        <v>0</v>
      </c>
    </row>
    <row r="37" spans="1:8">
      <c r="A37" s="4" t="s">
        <v>27</v>
      </c>
      <c r="B37" s="9">
        <v>0.05</v>
      </c>
      <c r="D37" s="9">
        <v>0</v>
      </c>
      <c r="F37" s="8">
        <v>0</v>
      </c>
      <c r="H37" s="12">
        <v>0</v>
      </c>
    </row>
    <row r="38" spans="1:8">
      <c r="A38" s="4" t="s">
        <v>28</v>
      </c>
      <c r="B38" s="9">
        <v>0.1</v>
      </c>
      <c r="D38" s="9">
        <v>0</v>
      </c>
      <c r="F38" s="8">
        <v>0</v>
      </c>
      <c r="H38" s="12">
        <v>0</v>
      </c>
    </row>
    <row r="39" spans="1:8">
      <c r="A39" s="4" t="s">
        <v>29</v>
      </c>
      <c r="B39" s="9">
        <v>0.04</v>
      </c>
      <c r="D39" s="9">
        <v>0</v>
      </c>
      <c r="F39" s="8">
        <v>0</v>
      </c>
      <c r="H39" s="12">
        <v>0</v>
      </c>
    </row>
    <row r="40" spans="1:8">
      <c r="A40" s="4" t="s">
        <v>30</v>
      </c>
      <c r="B40" s="9">
        <v>0.01</v>
      </c>
      <c r="D40" s="9">
        <v>0</v>
      </c>
      <c r="F40" s="8">
        <v>0</v>
      </c>
      <c r="H40" s="12">
        <v>0</v>
      </c>
    </row>
    <row r="41" spans="1:8">
      <c r="A41" s="4" t="s">
        <v>31</v>
      </c>
      <c r="B41" s="9">
        <v>0.04</v>
      </c>
      <c r="D41" s="9">
        <v>0</v>
      </c>
      <c r="F41" s="8">
        <v>0</v>
      </c>
      <c r="H41" s="12">
        <v>0</v>
      </c>
    </row>
    <row r="42" spans="1:8">
      <c r="A42" s="4" t="s">
        <v>32</v>
      </c>
      <c r="B42" s="9">
        <v>0.15</v>
      </c>
      <c r="D42" s="9">
        <v>0</v>
      </c>
      <c r="F42" s="8">
        <v>0</v>
      </c>
      <c r="H42" s="12">
        <v>0</v>
      </c>
    </row>
    <row r="43" spans="1:8">
      <c r="A43" s="4" t="s">
        <v>33</v>
      </c>
      <c r="B43" s="9">
        <v>0.18</v>
      </c>
      <c r="D43" s="9">
        <v>0</v>
      </c>
      <c r="F43" s="8">
        <v>0</v>
      </c>
      <c r="H43" s="12">
        <v>0</v>
      </c>
    </row>
    <row r="44" spans="1:8">
      <c r="A44" s="4" t="s">
        <v>34</v>
      </c>
      <c r="B44" s="9">
        <v>30</v>
      </c>
      <c r="D44" s="9">
        <v>0</v>
      </c>
      <c r="F44" s="8">
        <v>0</v>
      </c>
      <c r="H44" s="12">
        <v>0</v>
      </c>
    </row>
    <row r="45" spans="1:8">
      <c r="A45" s="4" t="s">
        <v>35</v>
      </c>
      <c r="B45" s="9">
        <v>60</v>
      </c>
      <c r="D45" s="9">
        <v>0</v>
      </c>
      <c r="F45" s="8">
        <v>0</v>
      </c>
      <c r="H45" s="12">
        <v>0</v>
      </c>
    </row>
    <row r="46" spans="1:8">
      <c r="A46" s="4" t="s">
        <v>36</v>
      </c>
      <c r="B46" s="9">
        <v>30</v>
      </c>
      <c r="D46" s="9">
        <v>0</v>
      </c>
      <c r="F46" s="8">
        <v>0</v>
      </c>
      <c r="H46" s="12">
        <v>0</v>
      </c>
    </row>
    <row r="47" spans="1:8">
      <c r="A47" s="4" t="s">
        <v>37</v>
      </c>
      <c r="B47" s="9">
        <v>45</v>
      </c>
      <c r="D47" s="9">
        <v>0</v>
      </c>
      <c r="F47" s="8">
        <v>0</v>
      </c>
      <c r="H47" s="12">
        <v>0</v>
      </c>
    </row>
    <row r="48" spans="1:8">
      <c r="A48" s="4" t="s">
        <v>38</v>
      </c>
      <c r="B48" s="9">
        <v>15</v>
      </c>
      <c r="D48" s="9">
        <v>0</v>
      </c>
      <c r="F48" s="8">
        <v>0</v>
      </c>
      <c r="H48" s="12">
        <v>0</v>
      </c>
    </row>
    <row r="49" spans="1:8">
      <c r="A49" s="4" t="s">
        <v>39</v>
      </c>
      <c r="B49" s="9">
        <v>45</v>
      </c>
      <c r="D49" s="9">
        <v>0</v>
      </c>
      <c r="F49" s="8">
        <v>0</v>
      </c>
      <c r="H49" s="12">
        <v>0</v>
      </c>
    </row>
    <row r="50" spans="1:8">
      <c r="A50" s="4" t="s">
        <v>40</v>
      </c>
      <c r="B50" s="9">
        <v>50000</v>
      </c>
      <c r="D50" s="9">
        <v>0</v>
      </c>
      <c r="F50" s="8">
        <v>0</v>
      </c>
      <c r="H50" s="12">
        <v>0</v>
      </c>
    </row>
    <row r="51" spans="1:8">
      <c r="A51" s="4" t="s">
        <v>41</v>
      </c>
      <c r="B51" s="9">
        <v>0.1</v>
      </c>
      <c r="D51" s="9">
        <v>0</v>
      </c>
      <c r="F51" s="8">
        <v>0</v>
      </c>
      <c r="H51" s="12">
        <v>0</v>
      </c>
    </row>
    <row r="52" spans="1:8">
      <c r="A52" s="4" t="s">
        <v>42</v>
      </c>
      <c r="B52" s="9">
        <v>0.9</v>
      </c>
      <c r="D52" s="9">
        <v>0</v>
      </c>
      <c r="F52" s="8">
        <v>0</v>
      </c>
      <c r="H52" s="12">
        <v>0</v>
      </c>
    </row>
    <row r="53" spans="1:8">
      <c r="A53" s="4" t="s">
        <v>43</v>
      </c>
      <c r="B53" s="9">
        <v>16500</v>
      </c>
      <c r="D53" s="9">
        <v>0</v>
      </c>
      <c r="F53" s="8">
        <v>0</v>
      </c>
      <c r="H53" s="12">
        <v>0</v>
      </c>
    </row>
    <row r="54" spans="1:8">
      <c r="A54" s="4" t="s">
        <v>44</v>
      </c>
      <c r="B54" s="9">
        <v>1000</v>
      </c>
      <c r="D54" s="9">
        <v>0</v>
      </c>
      <c r="F54" s="8">
        <v>0</v>
      </c>
      <c r="H54" s="12">
        <v>0</v>
      </c>
    </row>
    <row r="55" spans="1:8">
      <c r="A55" s="4" t="s">
        <v>45</v>
      </c>
      <c r="B55" s="9">
        <v>10000</v>
      </c>
      <c r="D55" s="9">
        <v>0</v>
      </c>
      <c r="F55" s="8">
        <v>0</v>
      </c>
      <c r="H55" s="12">
        <v>0</v>
      </c>
    </row>
    <row r="56" spans="1:8">
      <c r="A56" s="4" t="s">
        <v>46</v>
      </c>
      <c r="B56" s="9">
        <v>75000</v>
      </c>
      <c r="D56" s="9">
        <v>0</v>
      </c>
      <c r="F56" s="8">
        <v>0</v>
      </c>
      <c r="H56" s="12">
        <v>0</v>
      </c>
    </row>
    <row r="57" spans="1:8">
      <c r="A57" s="4" t="s">
        <v>47</v>
      </c>
      <c r="B57" s="9">
        <v>-16000</v>
      </c>
      <c r="D57" s="9">
        <v>0</v>
      </c>
      <c r="F57" s="8">
        <v>0</v>
      </c>
      <c r="H57" s="12">
        <v>0</v>
      </c>
    </row>
    <row r="58" spans="1:8">
      <c r="A58" s="4" t="s">
        <v>48</v>
      </c>
      <c r="B58" s="9">
        <v>-13600</v>
      </c>
      <c r="D58" s="9">
        <v>0</v>
      </c>
      <c r="F58" s="8">
        <v>0</v>
      </c>
      <c r="H58" s="12">
        <v>0</v>
      </c>
    </row>
    <row r="59" spans="1:8">
      <c r="A59" s="4" t="s">
        <v>49</v>
      </c>
      <c r="B59" s="9">
        <v>-9800</v>
      </c>
      <c r="D59" s="9">
        <v>0</v>
      </c>
      <c r="F59" s="8">
        <v>0</v>
      </c>
      <c r="H59" s="12">
        <v>0</v>
      </c>
    </row>
    <row r="60" spans="1:8">
      <c r="A60" s="4" t="s">
        <v>50</v>
      </c>
      <c r="B60" s="9">
        <v>-16500</v>
      </c>
      <c r="D60" s="9">
        <v>0</v>
      </c>
      <c r="F60" s="8">
        <v>0</v>
      </c>
      <c r="H60" s="12">
        <v>0</v>
      </c>
    </row>
    <row r="61" spans="1:8">
      <c r="A61" s="4" t="s">
        <v>51</v>
      </c>
      <c r="B61" s="9">
        <v>-4580</v>
      </c>
      <c r="D61" s="9">
        <v>0</v>
      </c>
      <c r="F61" s="8">
        <v>0</v>
      </c>
      <c r="H61" s="12">
        <v>0</v>
      </c>
    </row>
    <row r="62" spans="1:8">
      <c r="A62" s="4" t="s">
        <v>52</v>
      </c>
      <c r="B62" s="9">
        <v>-1380</v>
      </c>
      <c r="D62" s="9">
        <v>0</v>
      </c>
      <c r="F62" s="8">
        <v>0</v>
      </c>
      <c r="H62" s="12">
        <v>0</v>
      </c>
    </row>
    <row r="63" spans="1:8">
      <c r="A63" s="4" t="s">
        <v>57</v>
      </c>
      <c r="B63" s="9">
        <v>0.1</v>
      </c>
      <c r="D63" s="9">
        <v>0</v>
      </c>
      <c r="F63" s="8">
        <v>0</v>
      </c>
      <c r="H63" s="12">
        <v>0</v>
      </c>
    </row>
    <row r="64" spans="1:8">
      <c r="A64" s="4" t="s">
        <v>60</v>
      </c>
      <c r="B64" s="9">
        <v>75</v>
      </c>
      <c r="D64" s="9">
        <v>0</v>
      </c>
      <c r="F64" s="8">
        <v>0</v>
      </c>
      <c r="H64" s="12">
        <v>0</v>
      </c>
    </row>
    <row r="65" spans="1:20">
      <c r="A65" s="4" t="s">
        <v>63</v>
      </c>
      <c r="B65" s="9">
        <v>16</v>
      </c>
      <c r="D65" s="9">
        <v>0</v>
      </c>
      <c r="F65" s="8">
        <v>0</v>
      </c>
      <c r="H65" s="12">
        <v>0</v>
      </c>
    </row>
    <row r="66" spans="1:20">
      <c r="A66" s="4" t="s">
        <v>66</v>
      </c>
      <c r="B66" s="9">
        <v>13.6</v>
      </c>
      <c r="D66" s="9">
        <v>0</v>
      </c>
      <c r="F66" s="8">
        <v>0</v>
      </c>
      <c r="H66" s="12">
        <v>0</v>
      </c>
    </row>
    <row r="69" spans="1:20">
      <c r="A69" s="3" t="s">
        <v>641</v>
      </c>
      <c r="B69" s="4" t="s">
        <v>619</v>
      </c>
      <c r="C69" s="8">
        <f>FN.MAXDEV(Rates_base, Rates_baseExp)</f>
        <v>0</v>
      </c>
      <c r="D69" s="12">
        <f>IF(FN.MAXDEV(Rates_base, Rates_baseExp) &lt;= Tol, "PASS", "FAIL")</f>
        <v/>
      </c>
    </row>
    <row r="70" spans="1:20">
      <c r="A70" s="3" t="s">
        <v>5</v>
      </c>
      <c r="B70" s="3" t="s">
        <v>637</v>
      </c>
      <c r="D70" s="3" t="s">
        <v>638</v>
      </c>
      <c r="F70" s="3" t="s">
        <v>639</v>
      </c>
      <c r="H70" s="3" t="s">
        <v>635</v>
      </c>
    </row>
    <row r="71" spans="1:20">
      <c r="A71" s="4" t="s">
        <v>88</v>
      </c>
      <c r="B71" s="9">
        <v>0.08</v>
      </c>
      <c r="D71" s="9" cm="1">
        <f t="array" ref="D71:D75">Rates_base</f>
        <v>0</v>
      </c>
      <c r="F71" s="8" cm="1">
        <f t="array" ref="F71:F75">FN.DEV(Rates_base, Rates_baseExp)</f>
        <v>0</v>
      </c>
      <c r="H71" s="12" cm="1">
        <f t="array" ref="H71:H75">_xlfn.BYROW(FN.DEV(Rates_base, Rates_baseExp), _xlfn.LAMBDA(_xlpm.dev_row, IF(MAX(_xlpm.dev_row) &lt;= Tol, "PASS", "FAIL")))</f>
        <v>0</v>
      </c>
    </row>
    <row r="72" spans="1:20">
      <c r="A72" s="4" t="s">
        <v>89</v>
      </c>
      <c r="B72" s="9">
        <v>0.0444</v>
      </c>
      <c r="D72" s="9">
        <v>0</v>
      </c>
      <c r="F72" s="8">
        <v>0</v>
      </c>
      <c r="H72" s="12">
        <v>0</v>
      </c>
    </row>
    <row r="73" spans="1:20">
      <c r="A73" s="4" t="s">
        <v>90</v>
      </c>
      <c r="B73" s="9">
        <v>0.35</v>
      </c>
      <c r="D73" s="9">
        <v>0</v>
      </c>
      <c r="F73" s="8">
        <v>0</v>
      </c>
      <c r="H73" s="12">
        <v>0</v>
      </c>
    </row>
    <row r="74" spans="1:20">
      <c r="A74" s="4" t="s">
        <v>91</v>
      </c>
      <c r="B74" s="9">
        <v>0.02</v>
      </c>
      <c r="D74" s="9">
        <v>0</v>
      </c>
      <c r="F74" s="8">
        <v>0</v>
      </c>
      <c r="H74" s="12">
        <v>0</v>
      </c>
    </row>
    <row r="75" spans="1:20">
      <c r="A75" s="4" t="s">
        <v>92</v>
      </c>
      <c r="B75" s="9">
        <v>0.6</v>
      </c>
      <c r="D75" s="9">
        <v>0</v>
      </c>
      <c r="F75" s="8">
        <v>0</v>
      </c>
      <c r="H75" s="12">
        <v>0</v>
      </c>
    </row>
    <row r="78" spans="1:20">
      <c r="A78" s="3" t="s">
        <v>642</v>
      </c>
      <c r="B78" s="4" t="s">
        <v>619</v>
      </c>
      <c r="C78" s="8">
        <f>FN.MAXDEV(FinDebt_base, FinDebt_baseExp)</f>
        <v>0</v>
      </c>
      <c r="D78" s="12">
        <f>IF(FN.MAXDEV(FinDebt_base, FinDebt_baseExp) &lt;= Tol, "PASS", "FAIL")</f>
        <v/>
      </c>
    </row>
    <row r="79" spans="1:20">
      <c r="A79" s="3" t="s">
        <v>5</v>
      </c>
      <c r="B79" s="3" t="s">
        <v>620</v>
      </c>
      <c r="C79" s="3" t="s">
        <v>623</v>
      </c>
      <c r="D79" s="3" t="s">
        <v>626</v>
      </c>
      <c r="E79" s="3" t="s">
        <v>629</v>
      </c>
      <c r="F79" s="3" t="s">
        <v>632</v>
      </c>
      <c r="H79" s="3" t="s">
        <v>621</v>
      </c>
      <c r="I79" s="3" t="s">
        <v>624</v>
      </c>
      <c r="J79" s="3" t="s">
        <v>627</v>
      </c>
      <c r="K79" s="3" t="s">
        <v>630</v>
      </c>
      <c r="L79" s="3" t="s">
        <v>633</v>
      </c>
      <c r="N79" s="3" t="s">
        <v>622</v>
      </c>
      <c r="O79" s="3" t="s">
        <v>625</v>
      </c>
      <c r="P79" s="3" t="s">
        <v>628</v>
      </c>
      <c r="Q79" s="3" t="s">
        <v>631</v>
      </c>
      <c r="R79" s="3" t="s">
        <v>634</v>
      </c>
      <c r="T79" s="3" t="s">
        <v>635</v>
      </c>
    </row>
    <row r="80" spans="1:20">
      <c r="A80" s="4" t="s">
        <v>130</v>
      </c>
      <c r="B80" s="9">
        <v>90000</v>
      </c>
      <c r="C80" s="9">
        <v>95000</v>
      </c>
      <c r="D80" s="9">
        <v>100000</v>
      </c>
      <c r="E80" s="9">
        <v>98000</v>
      </c>
      <c r="F80" s="9">
        <v>99000</v>
      </c>
      <c r="H80" s="9" cm="1">
        <f t="array" ref="H80:L81">FinDebt_base</f>
        <v>0</v>
      </c>
      <c r="I80" s="9">
        <v>0</v>
      </c>
      <c r="J80" s="9">
        <v>0</v>
      </c>
      <c r="K80" s="9">
        <v>0</v>
      </c>
      <c r="L80" s="9">
        <v>0</v>
      </c>
      <c r="N80" s="8" cm="1">
        <f t="array" ref="N80:R81">FN.DEV(FinDebt_base, FinDebt_baseExp)</f>
        <v>0</v>
      </c>
      <c r="O80" s="8">
        <v>0</v>
      </c>
      <c r="P80" s="8">
        <v>0</v>
      </c>
      <c r="Q80" s="8">
        <v>0</v>
      </c>
      <c r="R80" s="8">
        <v>0</v>
      </c>
      <c r="T80" s="12" cm="1">
        <f t="array" ref="T80:T81">_xlfn.BYROW(FN.DEV(FinDebt_base, FinDebt_baseExp), _xlfn.LAMBDA(_xlpm.dev_row, IF(MAX(_xlpm.dev_row) &lt;= Tol, "PASS", "FAIL")))</f>
        <v>0</v>
      </c>
    </row>
    <row r="81" spans="1:20">
      <c r="A81" s="4" t="s">
        <v>132</v>
      </c>
      <c r="B81" s="9">
        <f>NA()</f>
        <v>0</v>
      </c>
      <c r="C81" s="9">
        <v>3996</v>
      </c>
      <c r="D81" s="9">
        <v>4218</v>
      </c>
      <c r="E81" s="9">
        <v>4440</v>
      </c>
      <c r="F81" s="9">
        <v>4351.2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T81" s="12">
        <v>0</v>
      </c>
    </row>
    <row r="84" spans="1:20">
      <c r="A84" s="3" t="s">
        <v>643</v>
      </c>
      <c r="B84" s="4" t="s">
        <v>619</v>
      </c>
      <c r="C84" s="8">
        <f>FN.MAXDEV(IS_base, IS_baseExp)</f>
        <v>0</v>
      </c>
      <c r="D84" s="12">
        <f>IF(FN.MAXDEV(IS_base, IS_baseExp) &lt;= Tol, "PASS", "FAIL")</f>
        <v/>
      </c>
    </row>
    <row r="85" spans="1:20">
      <c r="A85" s="3" t="s">
        <v>5</v>
      </c>
      <c r="B85" s="3" t="s">
        <v>620</v>
      </c>
      <c r="C85" s="3" t="s">
        <v>623</v>
      </c>
      <c r="D85" s="3" t="s">
        <v>626</v>
      </c>
      <c r="E85" s="3" t="s">
        <v>629</v>
      </c>
      <c r="F85" s="3" t="s">
        <v>632</v>
      </c>
      <c r="H85" s="3" t="s">
        <v>621</v>
      </c>
      <c r="I85" s="3" t="s">
        <v>624</v>
      </c>
      <c r="J85" s="3" t="s">
        <v>627</v>
      </c>
      <c r="K85" s="3" t="s">
        <v>630</v>
      </c>
      <c r="L85" s="3" t="s">
        <v>633</v>
      </c>
      <c r="N85" s="3" t="s">
        <v>622</v>
      </c>
      <c r="O85" s="3" t="s">
        <v>625</v>
      </c>
      <c r="P85" s="3" t="s">
        <v>628</v>
      </c>
      <c r="Q85" s="3" t="s">
        <v>631</v>
      </c>
      <c r="R85" s="3" t="s">
        <v>634</v>
      </c>
      <c r="T85" s="3" t="s">
        <v>635</v>
      </c>
    </row>
    <row r="86" spans="1:20">
      <c r="A86" s="4" t="s">
        <v>71</v>
      </c>
      <c r="B86" s="9">
        <v>75000</v>
      </c>
      <c r="C86" s="9">
        <v>90090.00000000001</v>
      </c>
      <c r="D86" s="9">
        <v>108216.108</v>
      </c>
      <c r="E86" s="9">
        <v>129989.1889296</v>
      </c>
      <c r="F86" s="9">
        <v>156143.0137422356</v>
      </c>
      <c r="H86" s="9" cm="1">
        <f t="array" ref="H86:L101">IS_base</f>
        <v>0</v>
      </c>
      <c r="I86" s="9">
        <v>0</v>
      </c>
      <c r="J86" s="9">
        <v>0</v>
      </c>
      <c r="K86" s="9">
        <v>0</v>
      </c>
      <c r="L86" s="9">
        <v>0</v>
      </c>
      <c r="N86" s="8" cm="1">
        <f t="array" ref="N86:R101">FN.DEV(IS_base, IS_baseExp)</f>
        <v>0</v>
      </c>
      <c r="O86" s="8">
        <v>0</v>
      </c>
      <c r="P86" s="8">
        <v>0</v>
      </c>
      <c r="Q86" s="8">
        <v>0</v>
      </c>
      <c r="R86" s="8">
        <v>0</v>
      </c>
      <c r="T86" s="12" cm="1">
        <f t="array" ref="T86:T101">_xlfn.BYROW(FN.DEV(IS_base, IS_baseExp), _xlfn.LAMBDA(_xlpm.dev_row, IF(MAX(_xlpm.dev_row) &lt;= Tol, "PASS", "FAIL")))</f>
        <v>0</v>
      </c>
    </row>
    <row r="87" spans="1:20">
      <c r="A87" s="4" t="s">
        <v>72</v>
      </c>
      <c r="B87" s="9">
        <v>-16000</v>
      </c>
      <c r="C87" s="9">
        <v>-18664.8</v>
      </c>
      <c r="D87" s="9">
        <v>-21773.42244000001</v>
      </c>
      <c r="E87" s="9">
        <v>-25399.785947382</v>
      </c>
      <c r="F87" s="9">
        <v>-29630.12029691848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T87" s="12">
        <v>0</v>
      </c>
    </row>
    <row r="88" spans="1:20">
      <c r="A88" s="4" t="s">
        <v>73</v>
      </c>
      <c r="B88" s="9">
        <v>-13600</v>
      </c>
      <c r="C88" s="9">
        <v>-16336.32</v>
      </c>
      <c r="D88" s="9">
        <v>-19623.18758400001</v>
      </c>
      <c r="E88" s="9">
        <v>-23571.3729259008</v>
      </c>
      <c r="F88" s="9">
        <v>-28313.93315859205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T88" s="12">
        <v>0</v>
      </c>
    </row>
    <row r="89" spans="1:20">
      <c r="A89" s="4" t="s">
        <v>145</v>
      </c>
      <c r="B89" s="9">
        <v>45400</v>
      </c>
      <c r="C89" s="9">
        <v>55088.88</v>
      </c>
      <c r="D89" s="9">
        <v>66819.49797600001</v>
      </c>
      <c r="E89" s="9">
        <v>81018.03005631722</v>
      </c>
      <c r="F89" s="9">
        <v>98198.96028672505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T89" s="12">
        <v>0</v>
      </c>
    </row>
    <row r="90" spans="1:20">
      <c r="A90" s="4" t="s">
        <v>74</v>
      </c>
      <c r="B90" s="9">
        <v>-9800</v>
      </c>
      <c r="C90" s="9">
        <v>-13513.5</v>
      </c>
      <c r="D90" s="9">
        <v>-16232.41620000001</v>
      </c>
      <c r="E90" s="9">
        <v>-19498.37833944</v>
      </c>
      <c r="F90" s="9">
        <v>-23421.45206133533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T90" s="12">
        <v>0</v>
      </c>
    </row>
    <row r="91" spans="1:20">
      <c r="A91" s="4" t="s">
        <v>75</v>
      </c>
      <c r="B91" s="9">
        <v>-16500</v>
      </c>
      <c r="C91" s="9">
        <v>-16216.2</v>
      </c>
      <c r="D91" s="9">
        <v>-19478.89944</v>
      </c>
      <c r="E91" s="9">
        <v>-23398.054007328</v>
      </c>
      <c r="F91" s="9">
        <v>-28105.7424736024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T91" s="12">
        <v>0</v>
      </c>
    </row>
    <row r="92" spans="1:20">
      <c r="A92" s="4" t="s">
        <v>149</v>
      </c>
      <c r="B92" s="9">
        <v>19100</v>
      </c>
      <c r="C92" s="9">
        <v>25359.18</v>
      </c>
      <c r="D92" s="9">
        <v>31108.182336</v>
      </c>
      <c r="E92" s="9">
        <v>38121.59770954921</v>
      </c>
      <c r="F92" s="9">
        <v>46671.76575178731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T92" s="12">
        <v>0</v>
      </c>
    </row>
    <row r="93" spans="1:20">
      <c r="A93" s="4" t="s">
        <v>76</v>
      </c>
      <c r="B93" s="9">
        <v>-4580</v>
      </c>
      <c r="C93" s="9">
        <v>-6358.100000000002</v>
      </c>
      <c r="D93" s="9">
        <v>-7353.639720000004</v>
      </c>
      <c r="E93" s="9">
        <v>-8577.853031664001</v>
      </c>
      <c r="F93" s="9">
        <v>-10073.9119616348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T93" s="12">
        <v>0</v>
      </c>
    </row>
    <row r="94" spans="1:20">
      <c r="A94" s="4" t="s">
        <v>152</v>
      </c>
      <c r="B94" s="9">
        <v>14520</v>
      </c>
      <c r="C94" s="9">
        <v>19001.08</v>
      </c>
      <c r="D94" s="9">
        <v>23754.542616</v>
      </c>
      <c r="E94" s="9">
        <v>29543.74467788521</v>
      </c>
      <c r="F94" s="9">
        <v>36597.85379015251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T94" s="12">
        <v>0</v>
      </c>
    </row>
    <row r="95" spans="1:20">
      <c r="A95" s="4" t="s">
        <v>154</v>
      </c>
      <c r="B95" s="9">
        <v>1380</v>
      </c>
      <c r="C95" s="9">
        <v>-3996</v>
      </c>
      <c r="D95" s="9">
        <v>-4218</v>
      </c>
      <c r="E95" s="9">
        <v>-4440</v>
      </c>
      <c r="F95" s="9">
        <v>-4351.2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T95" s="12">
        <v>0</v>
      </c>
    </row>
    <row r="96" spans="1:20">
      <c r="A96" s="4" t="s">
        <v>156</v>
      </c>
      <c r="B96" s="9">
        <v>0</v>
      </c>
      <c r="C96" s="9">
        <v>223.4117779815375</v>
      </c>
      <c r="D96" s="9">
        <v>258.644736397064</v>
      </c>
      <c r="E96" s="9">
        <v>257.5720408956217</v>
      </c>
      <c r="F96" s="9">
        <v>247.5208874478891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T96" s="12">
        <v>0</v>
      </c>
    </row>
    <row r="97" spans="1:20">
      <c r="A97" s="4" t="s">
        <v>158</v>
      </c>
      <c r="B97" s="9">
        <v>0</v>
      </c>
      <c r="C97" s="9">
        <v>-0</v>
      </c>
      <c r="D97" s="9">
        <v>-0</v>
      </c>
      <c r="E97" s="9">
        <v>-0</v>
      </c>
      <c r="F97" s="9">
        <v>-0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T97" s="12">
        <v>0</v>
      </c>
    </row>
    <row r="98" spans="1:20">
      <c r="A98" s="4" t="s">
        <v>160</v>
      </c>
      <c r="B98" s="9">
        <v>1380</v>
      </c>
      <c r="C98" s="9">
        <v>-3772.588222018463</v>
      </c>
      <c r="D98" s="9">
        <v>-3959.355263602936</v>
      </c>
      <c r="E98" s="9">
        <v>-4182.427959104379</v>
      </c>
      <c r="F98" s="9">
        <v>-4103.67911255211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T98" s="12">
        <v>0</v>
      </c>
    </row>
    <row r="99" spans="1:20">
      <c r="A99" s="4" t="s">
        <v>162</v>
      </c>
      <c r="B99" s="9">
        <v>15900</v>
      </c>
      <c r="C99" s="9">
        <v>15228.49177798154</v>
      </c>
      <c r="D99" s="9">
        <v>19795.18735239706</v>
      </c>
      <c r="E99" s="9">
        <v>25361.31671878083</v>
      </c>
      <c r="F99" s="9">
        <v>32494.17467760039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T99" s="12">
        <v>0</v>
      </c>
    </row>
    <row r="100" spans="1:20">
      <c r="A100" s="4" t="s">
        <v>164</v>
      </c>
      <c r="B100" s="9">
        <v>-5565</v>
      </c>
      <c r="C100" s="9">
        <v>-5329.972122293537</v>
      </c>
      <c r="D100" s="9">
        <v>-6928.315573338972</v>
      </c>
      <c r="E100" s="9">
        <v>-8876.460851573291</v>
      </c>
      <c r="F100" s="9">
        <v>-11372.96113716014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T100" s="12">
        <v>0</v>
      </c>
    </row>
    <row r="101" spans="1:20">
      <c r="A101" s="4" t="s">
        <v>166</v>
      </c>
      <c r="B101" s="9">
        <v>10335</v>
      </c>
      <c r="C101" s="9">
        <v>9898.519655687998</v>
      </c>
      <c r="D101" s="9">
        <v>12866.87177905809</v>
      </c>
      <c r="E101" s="9">
        <v>16484.85586720754</v>
      </c>
      <c r="F101" s="9">
        <v>21121.21354044026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T101" s="12">
        <v>0</v>
      </c>
    </row>
    <row r="104" spans="1:20">
      <c r="A104" s="3" t="s">
        <v>644</v>
      </c>
      <c r="B104" s="4" t="s">
        <v>619</v>
      </c>
      <c r="C104" s="8">
        <f>FN.MAXDEV(BS_base, BS_baseExp)</f>
        <v>0</v>
      </c>
      <c r="D104" s="12">
        <f>IF(FN.MAXDEV(BS_base, BS_baseExp) &lt;= Tol, "PASS", "FAIL")</f>
        <v/>
      </c>
    </row>
    <row r="105" spans="1:20">
      <c r="A105" s="3" t="s">
        <v>5</v>
      </c>
      <c r="B105" s="3" t="s">
        <v>620</v>
      </c>
      <c r="C105" s="3" t="s">
        <v>623</v>
      </c>
      <c r="D105" s="3" t="s">
        <v>626</v>
      </c>
      <c r="E105" s="3" t="s">
        <v>629</v>
      </c>
      <c r="F105" s="3" t="s">
        <v>632</v>
      </c>
      <c r="H105" s="3" t="s">
        <v>621</v>
      </c>
      <c r="I105" s="3" t="s">
        <v>624</v>
      </c>
      <c r="J105" s="3" t="s">
        <v>627</v>
      </c>
      <c r="K105" s="3" t="s">
        <v>630</v>
      </c>
      <c r="L105" s="3" t="s">
        <v>633</v>
      </c>
      <c r="N105" s="3" t="s">
        <v>622</v>
      </c>
      <c r="O105" s="3" t="s">
        <v>625</v>
      </c>
      <c r="P105" s="3" t="s">
        <v>628</v>
      </c>
      <c r="Q105" s="3" t="s">
        <v>631</v>
      </c>
      <c r="R105" s="3" t="s">
        <v>634</v>
      </c>
      <c r="T105" s="3" t="s">
        <v>635</v>
      </c>
    </row>
    <row r="106" spans="1:20">
      <c r="A106" s="4" t="s">
        <v>226</v>
      </c>
      <c r="B106" s="9">
        <v>12328.76712328767</v>
      </c>
      <c r="C106" s="9">
        <v>14809.31506849315</v>
      </c>
      <c r="D106" s="9">
        <v>17788.94926027398</v>
      </c>
      <c r="E106" s="9">
        <v>21368.0858514411</v>
      </c>
      <c r="F106" s="9">
        <v>25667.34472475106</v>
      </c>
      <c r="H106" s="9" cm="1">
        <f t="array" ref="H106:L126">BS_base</f>
        <v>0</v>
      </c>
      <c r="I106" s="9">
        <v>0</v>
      </c>
      <c r="J106" s="9">
        <v>0</v>
      </c>
      <c r="K106" s="9">
        <v>0</v>
      </c>
      <c r="L106" s="9">
        <v>0</v>
      </c>
      <c r="N106" s="8" cm="1">
        <f t="array" ref="N106:R126">FN.DEV(BS_base, BS_baseExp)</f>
        <v>0</v>
      </c>
      <c r="O106" s="8">
        <v>0</v>
      </c>
      <c r="P106" s="8">
        <v>0</v>
      </c>
      <c r="Q106" s="8">
        <v>0</v>
      </c>
      <c r="R106" s="8">
        <v>0</v>
      </c>
      <c r="T106" s="12" cm="1">
        <f t="array" ref="T106:T126">_xlfn.BYROW(FN.DEV(BS_base, BS_baseExp), _xlfn.LAMBDA(_xlpm.dev_row, IF(MAX(_xlpm.dev_row) &lt;= Tol, "PASS", "FAIL")))</f>
        <v>0</v>
      </c>
    </row>
    <row r="107" spans="1:20">
      <c r="A107" s="4" t="s">
        <v>228</v>
      </c>
      <c r="B107" s="9">
        <v>1315.068493150685</v>
      </c>
      <c r="C107" s="9">
        <v>1534.093150684932</v>
      </c>
      <c r="D107" s="9">
        <v>1789.596364931507</v>
      </c>
      <c r="E107" s="9">
        <v>2087.653639510849</v>
      </c>
      <c r="F107" s="9">
        <v>2435.352353171382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T107" s="12">
        <v>0</v>
      </c>
    </row>
    <row r="108" spans="1:20">
      <c r="A108" s="4" t="s">
        <v>229</v>
      </c>
      <c r="B108" s="9">
        <v>3649.315068493151</v>
      </c>
      <c r="C108" s="9">
        <v>4315.206575342467</v>
      </c>
      <c r="D108" s="9">
        <v>5103.691646794522</v>
      </c>
      <c r="E108" s="9">
        <v>6037.540135062262</v>
      </c>
      <c r="F108" s="9">
        <v>7143.787412323216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T108" s="12">
        <v>0</v>
      </c>
    </row>
    <row r="109" spans="1:20">
      <c r="A109" s="4" t="s">
        <v>231</v>
      </c>
      <c r="B109" s="9">
        <v>-1236.986301369863</v>
      </c>
      <c r="C109" s="9">
        <v>-1337.774794520548</v>
      </c>
      <c r="D109" s="9">
        <v>-1606.935083178083</v>
      </c>
      <c r="E109" s="9">
        <v>-1930.250421913513</v>
      </c>
      <c r="F109" s="9">
        <v>-2318.616806802512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T109" s="12">
        <v>0</v>
      </c>
    </row>
    <row r="110" spans="1:20">
      <c r="A110" s="4" t="s">
        <v>233</v>
      </c>
      <c r="B110" s="9">
        <v>-3180.821917808219</v>
      </c>
      <c r="C110" s="9">
        <v>-3967.187671232877</v>
      </c>
      <c r="D110" s="9">
        <v>-4685.651339178084</v>
      </c>
      <c r="E110" s="9">
        <v>-5535.390117553397</v>
      </c>
      <c r="F110" s="9">
        <v>-6540.604811291566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T110" s="12">
        <v>0</v>
      </c>
    </row>
    <row r="111" spans="1:20">
      <c r="A111" s="4" t="s">
        <v>235</v>
      </c>
      <c r="B111" s="9">
        <v>6164.383561643835</v>
      </c>
      <c r="C111" s="9">
        <v>7404.657534246577</v>
      </c>
      <c r="D111" s="9">
        <v>8894.474630136989</v>
      </c>
      <c r="E111" s="9">
        <v>10684.04292572055</v>
      </c>
      <c r="F111" s="9">
        <v>12833.67236237553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T111" s="12">
        <v>0</v>
      </c>
    </row>
    <row r="112" spans="1:20">
      <c r="A112" s="4" t="s">
        <v>237</v>
      </c>
      <c r="B112" s="9">
        <v>19039.72602739726</v>
      </c>
      <c r="C112" s="9">
        <v>22758.3098630137</v>
      </c>
      <c r="D112" s="9">
        <v>27284.12547978083</v>
      </c>
      <c r="E112" s="9">
        <v>32711.68201226785</v>
      </c>
      <c r="F112" s="9">
        <v>39220.9352345271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T112" s="12">
        <v>0</v>
      </c>
    </row>
    <row r="113" spans="1:20">
      <c r="A113" s="4" t="s">
        <v>239</v>
      </c>
      <c r="B113" s="9">
        <v>0</v>
      </c>
      <c r="C113" s="9">
        <v>13581.00000000001</v>
      </c>
      <c r="D113" s="9">
        <v>16313.49720000002</v>
      </c>
      <c r="E113" s="9">
        <v>19595.77283663998</v>
      </c>
      <c r="F113" s="9">
        <v>23538.44233137201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T113" s="12">
        <v>0</v>
      </c>
    </row>
    <row r="114" spans="1:20">
      <c r="A114" s="4" t="s">
        <v>76</v>
      </c>
      <c r="B114" s="9">
        <v>0</v>
      </c>
      <c r="C114" s="9">
        <v>-6358.100000000002</v>
      </c>
      <c r="D114" s="9">
        <v>-7353.639720000004</v>
      </c>
      <c r="E114" s="9">
        <v>-8577.853031664001</v>
      </c>
      <c r="F114" s="9">
        <v>-10073.9119616348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T114" s="12">
        <v>0</v>
      </c>
    </row>
    <row r="115" spans="1:20">
      <c r="A115" s="4" t="s">
        <v>241</v>
      </c>
      <c r="B115" s="9">
        <v>50000</v>
      </c>
      <c r="C115" s="9">
        <v>57222.90000000001</v>
      </c>
      <c r="D115" s="9">
        <v>66182.75748000003</v>
      </c>
      <c r="E115" s="9">
        <v>77200.67728497602</v>
      </c>
      <c r="F115" s="9">
        <v>90665.20765471322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T115" s="12">
        <v>0</v>
      </c>
    </row>
    <row r="116" spans="1:20">
      <c r="A116" s="4" t="s">
        <v>243</v>
      </c>
      <c r="B116" s="9">
        <v>69039.72602739726</v>
      </c>
      <c r="C116" s="9">
        <v>79981.2098630137</v>
      </c>
      <c r="D116" s="9">
        <v>93466.88295978087</v>
      </c>
      <c r="E116" s="9">
        <v>109912.3592972439</v>
      </c>
      <c r="F116" s="9">
        <v>129886.1428892403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T116" s="12">
        <v>0</v>
      </c>
    </row>
    <row r="117" spans="1:20">
      <c r="A117" s="4" t="s">
        <v>245</v>
      </c>
      <c r="B117" s="9">
        <v>116624.6575342466</v>
      </c>
      <c r="C117" s="9">
        <v>116624.6575342466</v>
      </c>
      <c r="D117" s="9">
        <v>116624.6575342466</v>
      </c>
      <c r="E117" s="9">
        <v>116624.6575342466</v>
      </c>
      <c r="F117" s="9">
        <v>116624.6575342466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T117" s="12">
        <v>0</v>
      </c>
    </row>
    <row r="118" spans="1:20">
      <c r="A118" s="4" t="s">
        <v>247</v>
      </c>
      <c r="B118" s="9">
        <v>10335.61643835616</v>
      </c>
      <c r="C118" s="9">
        <v>12005.56135979758</v>
      </c>
      <c r="D118" s="9">
        <v>13858.91227990881</v>
      </c>
      <c r="E118" s="9">
        <v>11898.29180965336</v>
      </c>
      <c r="F118" s="9">
        <v>12853.79693513555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T118" s="12">
        <v>0</v>
      </c>
    </row>
    <row r="119" spans="1:20">
      <c r="A119" s="4" t="s">
        <v>249</v>
      </c>
      <c r="B119" s="9">
        <v>196000</v>
      </c>
      <c r="C119" s="9">
        <v>208611.4287570578</v>
      </c>
      <c r="D119" s="9">
        <v>223950.4527739362</v>
      </c>
      <c r="E119" s="9">
        <v>238435.3086411438</v>
      </c>
      <c r="F119" s="9">
        <v>259364.5973586224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T119" s="12">
        <v>0</v>
      </c>
    </row>
    <row r="120" spans="1:20">
      <c r="A120" s="4" t="s">
        <v>251</v>
      </c>
      <c r="B120" s="9">
        <v>90000</v>
      </c>
      <c r="C120" s="9">
        <v>95000</v>
      </c>
      <c r="D120" s="9">
        <v>100000</v>
      </c>
      <c r="E120" s="9">
        <v>98000</v>
      </c>
      <c r="F120" s="9">
        <v>99000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T120" s="12">
        <v>0</v>
      </c>
    </row>
    <row r="121" spans="1:20">
      <c r="A121" s="4" t="s">
        <v>253</v>
      </c>
      <c r="B121" s="9">
        <v>0</v>
      </c>
      <c r="C121" s="9">
        <v>0</v>
      </c>
      <c r="D121" s="9">
        <v>0</v>
      </c>
      <c r="E121" s="9">
        <v>0</v>
      </c>
      <c r="F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T121" s="12">
        <v>0</v>
      </c>
    </row>
    <row r="122" spans="1:20">
      <c r="A122" s="4" t="s">
        <v>255</v>
      </c>
      <c r="B122" s="9">
        <v>10335</v>
      </c>
      <c r="C122" s="9">
        <v>9898.519655687998</v>
      </c>
      <c r="D122" s="9">
        <v>12866.87177905809</v>
      </c>
      <c r="E122" s="9">
        <v>16484.85586720754</v>
      </c>
      <c r="F122" s="9">
        <v>21121.21354044026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T122" s="12">
        <v>0</v>
      </c>
    </row>
    <row r="123" spans="1:20">
      <c r="A123" s="4" t="s">
        <v>256</v>
      </c>
      <c r="B123" s="9">
        <v>-0</v>
      </c>
      <c r="C123" s="9">
        <v>-2287.090898630127</v>
      </c>
      <c r="D123" s="9">
        <v>-2527.847762179712</v>
      </c>
      <c r="E123" s="9">
        <v>0</v>
      </c>
      <c r="F123" s="9">
        <v>-1191.924822961601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T123" s="12">
        <v>0</v>
      </c>
    </row>
    <row r="124" spans="1:20">
      <c r="A124" s="4" t="s">
        <v>258</v>
      </c>
      <c r="B124" s="9">
        <v>106000</v>
      </c>
      <c r="C124" s="9">
        <v>0</v>
      </c>
      <c r="D124" s="9">
        <v>0</v>
      </c>
      <c r="E124" s="9">
        <v>0</v>
      </c>
      <c r="F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T124" s="12">
        <v>0</v>
      </c>
    </row>
    <row r="125" spans="1:20">
      <c r="A125" s="4" t="s">
        <v>260</v>
      </c>
      <c r="B125" s="9">
        <v>106000</v>
      </c>
      <c r="C125" s="9">
        <v>113611.4287570579</v>
      </c>
      <c r="D125" s="9">
        <v>123950.4527739363</v>
      </c>
      <c r="E125" s="9">
        <v>140435.3086411438</v>
      </c>
      <c r="F125" s="9">
        <v>160364.5973586225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T125" s="12">
        <v>0</v>
      </c>
    </row>
    <row r="126" spans="1:20">
      <c r="A126" s="4" t="s">
        <v>262</v>
      </c>
      <c r="B126" s="9">
        <v>196000</v>
      </c>
      <c r="C126" s="9">
        <v>208611.4287570579</v>
      </c>
      <c r="D126" s="9">
        <v>223950.4527739363</v>
      </c>
      <c r="E126" s="9">
        <v>238435.3086411438</v>
      </c>
      <c r="F126" s="9">
        <v>259364.5973586225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T126" s="12">
        <v>0</v>
      </c>
    </row>
    <row r="129" spans="1:20">
      <c r="A129" s="3" t="s">
        <v>645</v>
      </c>
      <c r="B129" s="4" t="s">
        <v>619</v>
      </c>
      <c r="C129" s="8">
        <f>FN.MAXDEV(BSdelta_base, BSdelta_baseExp)</f>
        <v>0</v>
      </c>
      <c r="D129" s="12">
        <f>IF(FN.MAXDEV(BSdelta_base, BSdelta_baseExp) &lt;= Tol, "PASS", "FAIL")</f>
        <v/>
      </c>
    </row>
    <row r="130" spans="1:20">
      <c r="A130" s="3" t="s">
        <v>5</v>
      </c>
      <c r="B130" s="3" t="s">
        <v>620</v>
      </c>
      <c r="C130" s="3" t="s">
        <v>623</v>
      </c>
      <c r="D130" s="3" t="s">
        <v>626</v>
      </c>
      <c r="E130" s="3" t="s">
        <v>629</v>
      </c>
      <c r="F130" s="3" t="s">
        <v>632</v>
      </c>
      <c r="H130" s="3" t="s">
        <v>621</v>
      </c>
      <c r="I130" s="3" t="s">
        <v>624</v>
      </c>
      <c r="J130" s="3" t="s">
        <v>627</v>
      </c>
      <c r="K130" s="3" t="s">
        <v>630</v>
      </c>
      <c r="L130" s="3" t="s">
        <v>633</v>
      </c>
      <c r="N130" s="3" t="s">
        <v>622</v>
      </c>
      <c r="O130" s="3" t="s">
        <v>625</v>
      </c>
      <c r="P130" s="3" t="s">
        <v>628</v>
      </c>
      <c r="Q130" s="3" t="s">
        <v>631</v>
      </c>
      <c r="R130" s="3" t="s">
        <v>634</v>
      </c>
      <c r="T130" s="3" t="s">
        <v>635</v>
      </c>
    </row>
    <row r="131" spans="1:20">
      <c r="A131" s="4" t="s">
        <v>237</v>
      </c>
      <c r="B131" s="9">
        <f>NA()</f>
        <v>0</v>
      </c>
      <c r="C131" s="9">
        <v>3718.583835616446</v>
      </c>
      <c r="D131" s="9">
        <v>4525.81561676713</v>
      </c>
      <c r="E131" s="9">
        <v>5427.556532487015</v>
      </c>
      <c r="F131" s="9">
        <v>6509.253222259256</v>
      </c>
      <c r="H131" s="9" cm="1">
        <f t="array" ref="H131:L139">BSdelta_base</f>
        <v>0</v>
      </c>
      <c r="I131" s="9">
        <v>0</v>
      </c>
      <c r="J131" s="9">
        <v>0</v>
      </c>
      <c r="K131" s="9">
        <v>0</v>
      </c>
      <c r="L131" s="9">
        <v>0</v>
      </c>
      <c r="N131" s="8" cm="1">
        <f t="array" ref="N131:R139">FN.DEV(BSdelta_base, BSdelta_baseExp)</f>
        <v>0</v>
      </c>
      <c r="O131" s="8">
        <v>0</v>
      </c>
      <c r="P131" s="8">
        <v>0</v>
      </c>
      <c r="Q131" s="8">
        <v>0</v>
      </c>
      <c r="R131" s="8">
        <v>0</v>
      </c>
      <c r="T131" s="12" cm="1">
        <f t="array" ref="T131:T139">_xlfn.BYROW(FN.DEV(BSdelta_base, BSdelta_baseExp), _xlfn.LAMBDA(_xlpm.dev_row, IF(MAX(_xlpm.dev_row) &lt;= Tol, "PASS", "FAIL")))</f>
        <v>0</v>
      </c>
    </row>
    <row r="132" spans="1:20">
      <c r="A132" s="4" t="s">
        <v>251</v>
      </c>
      <c r="B132" s="9">
        <f>NA()</f>
        <v>0</v>
      </c>
      <c r="C132" s="9">
        <v>5000</v>
      </c>
      <c r="D132" s="9">
        <v>5000</v>
      </c>
      <c r="E132" s="9">
        <v>-2000</v>
      </c>
      <c r="F132" s="9">
        <v>1000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T132" s="12">
        <v>0</v>
      </c>
    </row>
    <row r="133" spans="1:20">
      <c r="A133" s="4" t="s">
        <v>241</v>
      </c>
      <c r="B133" s="9">
        <f>NA()</f>
        <v>0</v>
      </c>
      <c r="C133" s="9">
        <v>7222.900000000009</v>
      </c>
      <c r="D133" s="9">
        <v>8959.857480000021</v>
      </c>
      <c r="E133" s="9">
        <v>11017.91980497599</v>
      </c>
      <c r="F133" s="9">
        <v>13464.5303697372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T133" s="12">
        <v>0</v>
      </c>
    </row>
    <row r="134" spans="1:20">
      <c r="A134" s="4" t="s">
        <v>235</v>
      </c>
      <c r="B134" s="9">
        <f>NA()</f>
        <v>0</v>
      </c>
      <c r="C134" s="9">
        <v>1240.273972602741</v>
      </c>
      <c r="D134" s="9">
        <v>1489.817095890412</v>
      </c>
      <c r="E134" s="9">
        <v>1789.56829558356</v>
      </c>
      <c r="F134" s="9">
        <v>2149.629436654979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T134" s="12">
        <v>0</v>
      </c>
    </row>
    <row r="135" spans="1:20">
      <c r="A135" s="4" t="s">
        <v>226</v>
      </c>
      <c r="B135" s="9">
        <f>NA()</f>
        <v>0</v>
      </c>
      <c r="C135" s="9">
        <v>2480.547945205482</v>
      </c>
      <c r="D135" s="9">
        <v>2979.634191780824</v>
      </c>
      <c r="E135" s="9">
        <v>3579.13659116712</v>
      </c>
      <c r="F135" s="9">
        <v>4299.258873309958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T135" s="12">
        <v>0</v>
      </c>
    </row>
    <row r="136" spans="1:20">
      <c r="A136" s="4" t="s">
        <v>228</v>
      </c>
      <c r="B136" s="9">
        <f>NA()</f>
        <v>0</v>
      </c>
      <c r="C136" s="9">
        <v>219.0246575342469</v>
      </c>
      <c r="D136" s="9">
        <v>255.5032142465757</v>
      </c>
      <c r="E136" s="9">
        <v>298.0572745793418</v>
      </c>
      <c r="F136" s="9">
        <v>347.6987136605326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T136" s="12">
        <v>0</v>
      </c>
    </row>
    <row r="137" spans="1:20">
      <c r="A137" s="4" t="s">
        <v>229</v>
      </c>
      <c r="B137" s="9">
        <f>NA()</f>
        <v>0</v>
      </c>
      <c r="C137" s="9">
        <v>665.8915068493161</v>
      </c>
      <c r="D137" s="9">
        <v>788.4850714520553</v>
      </c>
      <c r="E137" s="9">
        <v>933.8484882677403</v>
      </c>
      <c r="F137" s="9">
        <v>1106.247277260954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T137" s="12">
        <v>0</v>
      </c>
    </row>
    <row r="138" spans="1:20">
      <c r="A138" s="4" t="s">
        <v>233</v>
      </c>
      <c r="B138" s="9">
        <f>NA()</f>
        <v>0</v>
      </c>
      <c r="C138" s="9">
        <v>-786.3657534246581</v>
      </c>
      <c r="D138" s="9">
        <v>-718.4636679452065</v>
      </c>
      <c r="E138" s="9">
        <v>-849.7387783753138</v>
      </c>
      <c r="F138" s="9">
        <v>-1005.214693738169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T138" s="12">
        <v>0</v>
      </c>
    </row>
    <row r="139" spans="1:20">
      <c r="A139" s="4" t="s">
        <v>231</v>
      </c>
      <c r="B139" s="9">
        <f>NA()</f>
        <v>0</v>
      </c>
      <c r="C139" s="9">
        <v>-100.7884931506851</v>
      </c>
      <c r="D139" s="9">
        <v>-269.1602886575345</v>
      </c>
      <c r="E139" s="9">
        <v>-323.31533873543</v>
      </c>
      <c r="F139" s="9">
        <v>-388.3663848889992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T139" s="12">
        <v>0</v>
      </c>
    </row>
    <row r="142" spans="1:20">
      <c r="A142" s="3" t="s">
        <v>646</v>
      </c>
      <c r="B142" s="4" t="s">
        <v>619</v>
      </c>
      <c r="C142" s="8">
        <f>FN.MAXDEV(FCF_base, FCF_baseExp)</f>
        <v>0</v>
      </c>
      <c r="D142" s="12">
        <f>IF(FN.MAXDEV(FCF_base, FCF_baseExp) &lt;= Tol, "PASS", "FAIL")</f>
        <v/>
      </c>
    </row>
    <row r="143" spans="1:20">
      <c r="A143" s="3" t="s">
        <v>5</v>
      </c>
      <c r="B143" s="3" t="s">
        <v>620</v>
      </c>
      <c r="C143" s="3" t="s">
        <v>623</v>
      </c>
      <c r="D143" s="3" t="s">
        <v>626</v>
      </c>
      <c r="E143" s="3" t="s">
        <v>629</v>
      </c>
      <c r="F143" s="3" t="s">
        <v>632</v>
      </c>
      <c r="H143" s="3" t="s">
        <v>621</v>
      </c>
      <c r="I143" s="3" t="s">
        <v>624</v>
      </c>
      <c r="J143" s="3" t="s">
        <v>627</v>
      </c>
      <c r="K143" s="3" t="s">
        <v>630</v>
      </c>
      <c r="L143" s="3" t="s">
        <v>633</v>
      </c>
      <c r="N143" s="3" t="s">
        <v>622</v>
      </c>
      <c r="O143" s="3" t="s">
        <v>625</v>
      </c>
      <c r="P143" s="3" t="s">
        <v>628</v>
      </c>
      <c r="Q143" s="3" t="s">
        <v>631</v>
      </c>
      <c r="R143" s="3" t="s">
        <v>634</v>
      </c>
      <c r="T143" s="3" t="s">
        <v>635</v>
      </c>
    </row>
    <row r="144" spans="1:20">
      <c r="A144" s="4" t="s">
        <v>152</v>
      </c>
      <c r="B144" s="9">
        <v>0</v>
      </c>
      <c r="C144" s="9">
        <v>19001.08</v>
      </c>
      <c r="D144" s="9">
        <v>23754.542616</v>
      </c>
      <c r="E144" s="9">
        <v>29543.74467788521</v>
      </c>
      <c r="F144" s="9">
        <v>36597.85379015251</v>
      </c>
      <c r="H144" s="9" cm="1">
        <f t="array" ref="H144:L158">FCF_base</f>
        <v>0</v>
      </c>
      <c r="I144" s="9">
        <v>0</v>
      </c>
      <c r="J144" s="9">
        <v>0</v>
      </c>
      <c r="K144" s="9">
        <v>0</v>
      </c>
      <c r="L144" s="9">
        <v>0</v>
      </c>
      <c r="N144" s="8" cm="1">
        <f t="array" ref="N144:R158">FN.DEV(FCF_base, FCF_baseExp)</f>
        <v>0</v>
      </c>
      <c r="O144" s="8">
        <v>0</v>
      </c>
      <c r="P144" s="8">
        <v>0</v>
      </c>
      <c r="Q144" s="8">
        <v>0</v>
      </c>
      <c r="R144" s="8">
        <v>0</v>
      </c>
      <c r="T144" s="12" cm="1">
        <f t="array" ref="T144:T158">_xlfn.BYROW(FN.DEV(FCF_base, FCF_baseExp), _xlfn.LAMBDA(_xlpm.dev_row, IF(MAX(_xlpm.dev_row) &lt;= Tol, "PASS", "FAIL")))</f>
        <v>0</v>
      </c>
    </row>
    <row r="145" spans="1:20">
      <c r="A145" s="4" t="s">
        <v>366</v>
      </c>
      <c r="B145" s="9">
        <v>0</v>
      </c>
      <c r="C145" s="9">
        <v>-6650.377999999999</v>
      </c>
      <c r="D145" s="9">
        <v>-8314.0899156</v>
      </c>
      <c r="E145" s="9">
        <v>-10340.31063725982</v>
      </c>
      <c r="F145" s="9">
        <v>-12809.24882655338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T145" s="12">
        <v>0</v>
      </c>
    </row>
    <row r="146" spans="1:20">
      <c r="A146" s="4" t="s">
        <v>368</v>
      </c>
      <c r="B146" s="9">
        <v>0</v>
      </c>
      <c r="C146" s="9">
        <v>12350.702</v>
      </c>
      <c r="D146" s="9">
        <v>15440.4527004</v>
      </c>
      <c r="E146" s="9">
        <v>19203.43404062539</v>
      </c>
      <c r="F146" s="9">
        <v>23788.60496359913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T146" s="12">
        <v>0</v>
      </c>
    </row>
    <row r="147" spans="1:20">
      <c r="A147" s="4" t="s">
        <v>370</v>
      </c>
      <c r="B147" s="9">
        <v>0</v>
      </c>
      <c r="C147" s="9">
        <v>6358.100000000002</v>
      </c>
      <c r="D147" s="9">
        <v>7353.639720000004</v>
      </c>
      <c r="E147" s="9">
        <v>8577.853031664001</v>
      </c>
      <c r="F147" s="9">
        <v>10073.9119616348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T147" s="12">
        <v>0</v>
      </c>
    </row>
    <row r="148" spans="1:20">
      <c r="A148" s="4" t="s">
        <v>372</v>
      </c>
      <c r="B148" s="9">
        <v>0</v>
      </c>
      <c r="C148" s="9">
        <v>-3718.583835616446</v>
      </c>
      <c r="D148" s="9">
        <v>-4525.81561676713</v>
      </c>
      <c r="E148" s="9">
        <v>-5427.556532487015</v>
      </c>
      <c r="F148" s="9">
        <v>-6509.253222259256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T148" s="12">
        <v>0</v>
      </c>
    </row>
    <row r="149" spans="1:20">
      <c r="A149" s="4" t="s">
        <v>374</v>
      </c>
      <c r="B149" s="9">
        <v>0</v>
      </c>
      <c r="C149" s="9">
        <v>-13581.00000000001</v>
      </c>
      <c r="D149" s="9">
        <v>-16313.49720000002</v>
      </c>
      <c r="E149" s="9">
        <v>-19595.77283663998</v>
      </c>
      <c r="F149" s="9">
        <v>-23538.44233137201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T149" s="12">
        <v>0</v>
      </c>
    </row>
    <row r="150" spans="1:20">
      <c r="A150" s="4" t="s">
        <v>376</v>
      </c>
      <c r="B150" s="9">
        <v>0</v>
      </c>
      <c r="C150" s="9">
        <v>1409.218164383545</v>
      </c>
      <c r="D150" s="9">
        <v>1954.779603632855</v>
      </c>
      <c r="E150" s="9">
        <v>2757.957703162388</v>
      </c>
      <c r="F150" s="9">
        <v>3814.821371602669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T150" s="12">
        <v>0</v>
      </c>
    </row>
    <row r="151" spans="1:20">
      <c r="A151" s="4" t="s">
        <v>378</v>
      </c>
      <c r="B151" s="9">
        <v>0</v>
      </c>
      <c r="C151" s="9">
        <v>5000</v>
      </c>
      <c r="D151" s="9">
        <v>5000</v>
      </c>
      <c r="E151" s="9">
        <v>-2000</v>
      </c>
      <c r="F151" s="9">
        <v>1000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T151" s="12">
        <v>0</v>
      </c>
    </row>
    <row r="152" spans="1:20">
      <c r="A152" s="4" t="s">
        <v>380</v>
      </c>
      <c r="B152" s="9">
        <v>0</v>
      </c>
      <c r="C152" s="9">
        <v>-2597.4</v>
      </c>
      <c r="D152" s="9">
        <v>-2741.7</v>
      </c>
      <c r="E152" s="9">
        <v>-2886</v>
      </c>
      <c r="F152" s="9">
        <v>-2828.28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T152" s="12">
        <v>0</v>
      </c>
    </row>
    <row r="153" spans="1:20">
      <c r="A153" s="4" t="s">
        <v>382</v>
      </c>
      <c r="B153" s="9">
        <v>0</v>
      </c>
      <c r="C153" s="9">
        <v>3811.818164383545</v>
      </c>
      <c r="D153" s="9">
        <v>4213.079603632854</v>
      </c>
      <c r="E153" s="9">
        <v>-2128.042296837612</v>
      </c>
      <c r="F153" s="9">
        <v>1986.541371602669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T153" s="12">
        <v>0</v>
      </c>
    </row>
    <row r="154" spans="1:20">
      <c r="A154" s="4" t="s">
        <v>384</v>
      </c>
      <c r="B154" s="9">
        <v>0</v>
      </c>
      <c r="C154" s="9">
        <v>-3811.818164383545</v>
      </c>
      <c r="D154" s="9">
        <v>-4213.079603632854</v>
      </c>
      <c r="E154" s="9">
        <v>0</v>
      </c>
      <c r="F154" s="9">
        <v>-1986.541371602669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T154" s="12">
        <v>0</v>
      </c>
    </row>
    <row r="155" spans="1:20">
      <c r="A155" s="4" t="s">
        <v>386</v>
      </c>
      <c r="B155" s="9">
        <v>0</v>
      </c>
      <c r="C155" s="9">
        <v>0</v>
      </c>
      <c r="D155" s="9">
        <v>0</v>
      </c>
      <c r="E155" s="9">
        <v>2128.042296837612</v>
      </c>
      <c r="F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T155" s="12">
        <v>0</v>
      </c>
    </row>
    <row r="156" spans="1:20">
      <c r="A156" s="4" t="s">
        <v>388</v>
      </c>
      <c r="B156" s="9">
        <v>0</v>
      </c>
      <c r="C156" s="9">
        <v>0</v>
      </c>
      <c r="D156" s="9">
        <v>0</v>
      </c>
      <c r="E156" s="9">
        <v>0</v>
      </c>
      <c r="F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T156" s="12">
        <v>0</v>
      </c>
    </row>
    <row r="157" spans="1:20">
      <c r="A157" s="4" t="s">
        <v>390</v>
      </c>
      <c r="B157" s="9">
        <v>0</v>
      </c>
      <c r="C157" s="9">
        <v>0</v>
      </c>
      <c r="D157" s="9">
        <v>0</v>
      </c>
      <c r="E157" s="9">
        <v>0</v>
      </c>
      <c r="F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T157" s="12">
        <v>0</v>
      </c>
    </row>
    <row r="158" spans="1:20">
      <c r="A158" s="4" t="s">
        <v>392</v>
      </c>
      <c r="B158" s="9">
        <v>0</v>
      </c>
      <c r="C158" s="9">
        <v>0</v>
      </c>
      <c r="D158" s="9">
        <v>0</v>
      </c>
      <c r="E158" s="9">
        <v>0</v>
      </c>
      <c r="F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T158" s="12">
        <v>0</v>
      </c>
    </row>
    <row r="161" spans="1:20">
      <c r="A161" s="3" t="s">
        <v>647</v>
      </c>
      <c r="B161" s="4" t="s">
        <v>619</v>
      </c>
      <c r="C161" s="8">
        <f>FN.MAXDEV(SCFrecursive_base, SCFrecursive_baseExp)</f>
        <v>0</v>
      </c>
      <c r="D161" s="12">
        <f>IF(FN.MAXDEV(SCFrecursive_base, SCFrecursive_baseExp) &lt;= Tol, "PASS", "FAIL")</f>
        <v/>
      </c>
    </row>
    <row r="162" spans="1:20">
      <c r="A162" s="3" t="s">
        <v>5</v>
      </c>
      <c r="B162" s="3" t="s">
        <v>620</v>
      </c>
      <c r="C162" s="3" t="s">
        <v>623</v>
      </c>
      <c r="D162" s="3" t="s">
        <v>626</v>
      </c>
      <c r="E162" s="3" t="s">
        <v>629</v>
      </c>
      <c r="F162" s="3" t="s">
        <v>632</v>
      </c>
      <c r="H162" s="3" t="s">
        <v>621</v>
      </c>
      <c r="I162" s="3" t="s">
        <v>624</v>
      </c>
      <c r="J162" s="3" t="s">
        <v>627</v>
      </c>
      <c r="K162" s="3" t="s">
        <v>630</v>
      </c>
      <c r="L162" s="3" t="s">
        <v>633</v>
      </c>
      <c r="N162" s="3" t="s">
        <v>622</v>
      </c>
      <c r="O162" s="3" t="s">
        <v>625</v>
      </c>
      <c r="P162" s="3" t="s">
        <v>628</v>
      </c>
      <c r="Q162" s="3" t="s">
        <v>631</v>
      </c>
      <c r="R162" s="3" t="s">
        <v>634</v>
      </c>
      <c r="T162" s="3" t="s">
        <v>635</v>
      </c>
    </row>
    <row r="163" spans="1:20">
      <c r="A163" s="4" t="s">
        <v>382</v>
      </c>
      <c r="B163" s="9">
        <v>0</v>
      </c>
      <c r="C163" s="9">
        <v>3811.818164383545</v>
      </c>
      <c r="D163" s="9">
        <v>4213.079603632854</v>
      </c>
      <c r="E163" s="9">
        <v>-2128.042296837612</v>
      </c>
      <c r="F163" s="9">
        <v>1986.541371602669</v>
      </c>
      <c r="H163" s="9" cm="1">
        <f t="array" ref="H163:L192">SCFrecursive_base</f>
        <v>0</v>
      </c>
      <c r="I163" s="9">
        <v>0</v>
      </c>
      <c r="J163" s="9">
        <v>0</v>
      </c>
      <c r="K163" s="9">
        <v>0</v>
      </c>
      <c r="L163" s="9">
        <v>0</v>
      </c>
      <c r="N163" s="8" cm="1">
        <f t="array" ref="N163:R192">FN.DEV(SCFrecursive_base, SCFrecursive_baseExp)</f>
        <v>0</v>
      </c>
      <c r="O163" s="8">
        <v>0</v>
      </c>
      <c r="P163" s="8">
        <v>0</v>
      </c>
      <c r="Q163" s="8">
        <v>0</v>
      </c>
      <c r="R163" s="8">
        <v>0</v>
      </c>
      <c r="T163" s="12" cm="1">
        <f t="array" ref="T163:T192">_xlfn.BYROW(FN.DEV(SCFrecursive_base, SCFrecursive_baseExp), _xlfn.LAMBDA(_xlpm.dev_row, IF(MAX(_xlpm.dev_row) &lt;= Tol, "PASS", "FAIL")))</f>
        <v>0</v>
      </c>
    </row>
    <row r="164" spans="1:20">
      <c r="A164" s="4" t="s">
        <v>258</v>
      </c>
      <c r="B164" s="9">
        <v>0</v>
      </c>
      <c r="C164" s="9">
        <v>0</v>
      </c>
      <c r="D164" s="9">
        <v>0</v>
      </c>
      <c r="E164" s="9">
        <v>0</v>
      </c>
      <c r="F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T164" s="12">
        <v>0</v>
      </c>
    </row>
    <row r="165" spans="1:20">
      <c r="A165" s="4" t="s">
        <v>256</v>
      </c>
      <c r="B165" s="9">
        <v>-0</v>
      </c>
      <c r="C165" s="9">
        <v>-2287.090898630127</v>
      </c>
      <c r="D165" s="9">
        <v>-2527.847762179712</v>
      </c>
      <c r="E165" s="9">
        <v>0</v>
      </c>
      <c r="F165" s="9">
        <v>-1191.924822961601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T165" s="12">
        <v>0</v>
      </c>
    </row>
    <row r="166" spans="1:20">
      <c r="A166" s="4" t="s">
        <v>390</v>
      </c>
      <c r="B166" s="9">
        <v>0</v>
      </c>
      <c r="C166" s="9">
        <v>1240.273972602741</v>
      </c>
      <c r="D166" s="9">
        <v>1489.817095890412</v>
      </c>
      <c r="E166" s="9">
        <v>1789.56829558356</v>
      </c>
      <c r="F166" s="9">
        <v>2149.629436654979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N166" s="8">
        <v>0</v>
      </c>
      <c r="O166" s="8">
        <v>0</v>
      </c>
      <c r="P166" s="8">
        <v>0</v>
      </c>
      <c r="Q166" s="8">
        <v>0</v>
      </c>
      <c r="R166" s="8">
        <v>0</v>
      </c>
      <c r="T166" s="12">
        <v>0</v>
      </c>
    </row>
    <row r="167" spans="1:20">
      <c r="A167" s="4" t="s">
        <v>439</v>
      </c>
      <c r="B167" s="9">
        <v>0</v>
      </c>
      <c r="C167" s="9">
        <v>2765.001238356159</v>
      </c>
      <c r="D167" s="9">
        <v>3175.048937343553</v>
      </c>
      <c r="E167" s="9">
        <v>-338.4740012540515</v>
      </c>
      <c r="F167" s="9">
        <v>2944.245985296047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T167" s="12">
        <v>0</v>
      </c>
    </row>
    <row r="168" spans="1:20">
      <c r="A168" s="4" t="s">
        <v>388</v>
      </c>
      <c r="B168" s="9">
        <v>0</v>
      </c>
      <c r="C168" s="9">
        <v>145.2176556879994</v>
      </c>
      <c r="D168" s="9">
        <v>168.1190786580916</v>
      </c>
      <c r="E168" s="9">
        <v>167.4218265821541</v>
      </c>
      <c r="F168" s="9">
        <v>160.8885768411279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T168" s="12">
        <v>0</v>
      </c>
    </row>
    <row r="169" spans="1:20">
      <c r="A169" s="4" t="s">
        <v>392</v>
      </c>
      <c r="B169" s="9">
        <v>0</v>
      </c>
      <c r="C169" s="9">
        <v>2910.218894044159</v>
      </c>
      <c r="D169" s="9">
        <v>3343.168016001645</v>
      </c>
      <c r="E169" s="9">
        <v>-171.0521746718974</v>
      </c>
      <c r="F169" s="9">
        <v>3105.134562137175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T169" s="12">
        <v>0</v>
      </c>
    </row>
    <row r="170" spans="1:20">
      <c r="A170" s="4" t="s">
        <v>442</v>
      </c>
      <c r="B170" s="9">
        <v>16500</v>
      </c>
      <c r="C170" s="9">
        <v>19410.21889404416</v>
      </c>
      <c r="D170" s="9">
        <v>22753.3869100458</v>
      </c>
      <c r="E170" s="9">
        <v>22582.3347353739</v>
      </c>
      <c r="F170" s="9">
        <v>25687.46929751108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T170" s="12">
        <v>0</v>
      </c>
    </row>
    <row r="171" spans="1:20">
      <c r="A171" s="4" t="s">
        <v>444</v>
      </c>
      <c r="B171" s="9">
        <v>10335.61643835616</v>
      </c>
      <c r="C171" s="9">
        <v>12005.56135979758</v>
      </c>
      <c r="D171" s="9">
        <v>13858.91227990881</v>
      </c>
      <c r="E171" s="9">
        <v>11898.29180965336</v>
      </c>
      <c r="F171" s="9">
        <v>12853.79693513555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T171" s="12">
        <v>0</v>
      </c>
    </row>
    <row r="172" spans="1:20">
      <c r="A172" s="4" t="s">
        <v>247</v>
      </c>
      <c r="B172" s="9">
        <v>10335.61643835616</v>
      </c>
      <c r="C172" s="9">
        <v>12005.56135979758</v>
      </c>
      <c r="D172" s="9">
        <v>13858.91227990881</v>
      </c>
      <c r="E172" s="9">
        <v>11898.29180965336</v>
      </c>
      <c r="F172" s="9">
        <v>12853.79693513555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T172" s="12">
        <v>0</v>
      </c>
    </row>
    <row r="173" spans="1:20">
      <c r="A173" s="4" t="s">
        <v>253</v>
      </c>
      <c r="B173" s="9">
        <v>0</v>
      </c>
      <c r="C173" s="9">
        <v>0</v>
      </c>
      <c r="D173" s="9">
        <v>0</v>
      </c>
      <c r="E173" s="9">
        <v>0</v>
      </c>
      <c r="F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T173" s="12">
        <v>0</v>
      </c>
    </row>
    <row r="174" spans="1:20">
      <c r="A174" s="4" t="s">
        <v>446</v>
      </c>
      <c r="B174" s="9">
        <v>0</v>
      </c>
      <c r="C174" s="9">
        <v>10335.61643835616</v>
      </c>
      <c r="D174" s="9">
        <v>12005.56135979758</v>
      </c>
      <c r="E174" s="9">
        <v>13858.91227990881</v>
      </c>
      <c r="F174" s="9">
        <v>11898.29180965336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T174" s="12">
        <v>0</v>
      </c>
    </row>
    <row r="175" spans="1:20">
      <c r="A175" s="4" t="s">
        <v>448</v>
      </c>
      <c r="B175" s="9">
        <v>0</v>
      </c>
      <c r="C175" s="9">
        <v>10335.61643835616</v>
      </c>
      <c r="D175" s="9">
        <v>12005.56135979758</v>
      </c>
      <c r="E175" s="9">
        <v>13858.91227990881</v>
      </c>
      <c r="F175" s="9">
        <v>11898.29180965336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T175" s="12">
        <v>0</v>
      </c>
    </row>
    <row r="176" spans="1:20">
      <c r="A176" s="4" t="s">
        <v>450</v>
      </c>
      <c r="B176" s="9">
        <v>0</v>
      </c>
      <c r="C176" s="9">
        <v>0</v>
      </c>
      <c r="D176" s="9">
        <v>0</v>
      </c>
      <c r="E176" s="9">
        <v>0</v>
      </c>
      <c r="F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T176" s="12">
        <v>0</v>
      </c>
    </row>
    <row r="177" spans="1:20">
      <c r="A177" s="4" t="s">
        <v>452</v>
      </c>
      <c r="B177" s="9">
        <v>0</v>
      </c>
      <c r="C177" s="9">
        <v>22341.17779815375</v>
      </c>
      <c r="D177" s="9">
        <v>25864.4736397064</v>
      </c>
      <c r="E177" s="9">
        <v>25757.20408956217</v>
      </c>
      <c r="F177" s="9">
        <v>24752.08874478891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T177" s="12">
        <v>0</v>
      </c>
    </row>
    <row r="178" spans="1:20">
      <c r="A178" s="4" t="s">
        <v>454</v>
      </c>
      <c r="B178" s="9">
        <v>0</v>
      </c>
      <c r="C178" s="9">
        <v>11170.58889907687</v>
      </c>
      <c r="D178" s="9">
        <v>12932.2368198532</v>
      </c>
      <c r="E178" s="9">
        <v>12878.60204478108</v>
      </c>
      <c r="F178" s="9">
        <v>12376.04437239446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T178" s="12">
        <v>0</v>
      </c>
    </row>
    <row r="179" spans="1:20">
      <c r="A179" s="4" t="s">
        <v>456</v>
      </c>
      <c r="B179" s="9">
        <v>0</v>
      </c>
      <c r="C179" s="9">
        <v>0</v>
      </c>
      <c r="D179" s="9">
        <v>0</v>
      </c>
      <c r="E179" s="9">
        <v>0</v>
      </c>
      <c r="F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T179" s="12">
        <v>0</v>
      </c>
    </row>
    <row r="180" spans="1:20">
      <c r="A180" s="4" t="s">
        <v>458</v>
      </c>
      <c r="B180" s="9">
        <v>0</v>
      </c>
      <c r="C180" s="9">
        <v>223.4117779815375</v>
      </c>
      <c r="D180" s="9">
        <v>258.644736397064</v>
      </c>
      <c r="E180" s="9">
        <v>257.5720408956217</v>
      </c>
      <c r="F180" s="9">
        <v>247.5208874478891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T180" s="12">
        <v>0</v>
      </c>
    </row>
    <row r="181" spans="1:20">
      <c r="A181" s="4" t="s">
        <v>460</v>
      </c>
      <c r="B181" s="9">
        <v>0</v>
      </c>
      <c r="C181" s="9">
        <v>-0</v>
      </c>
      <c r="D181" s="9">
        <v>-0</v>
      </c>
      <c r="E181" s="9">
        <v>-0</v>
      </c>
      <c r="F181" s="9">
        <v>-0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T181" s="12">
        <v>0</v>
      </c>
    </row>
    <row r="182" spans="1:20">
      <c r="A182" s="4" t="s">
        <v>462</v>
      </c>
      <c r="B182" s="9">
        <v>0</v>
      </c>
      <c r="C182" s="9">
        <v>223.4117779815375</v>
      </c>
      <c r="D182" s="9">
        <v>258.644736397064</v>
      </c>
      <c r="E182" s="9">
        <v>257.5720408956217</v>
      </c>
      <c r="F182" s="9">
        <v>247.5208874478891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T182" s="12">
        <v>0</v>
      </c>
    </row>
    <row r="183" spans="1:20">
      <c r="A183" s="4" t="s">
        <v>464</v>
      </c>
      <c r="B183" s="9">
        <v>0</v>
      </c>
      <c r="C183" s="9">
        <v>0</v>
      </c>
      <c r="D183" s="9">
        <v>0</v>
      </c>
      <c r="E183" s="9">
        <v>0</v>
      </c>
      <c r="F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T183" s="12">
        <v>0</v>
      </c>
    </row>
    <row r="184" spans="1:20">
      <c r="A184" s="4" t="s">
        <v>466</v>
      </c>
      <c r="B184" s="9">
        <f>NA()</f>
        <v>0</v>
      </c>
      <c r="C184" s="9">
        <v>2478.309863013702</v>
      </c>
      <c r="D184" s="9">
        <v>3035.998520876714</v>
      </c>
      <c r="E184" s="9">
        <v>3637.988236903458</v>
      </c>
      <c r="F184" s="9">
        <v>4359.623785604277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T184" s="12">
        <v>0</v>
      </c>
    </row>
    <row r="185" spans="1:20">
      <c r="A185" s="4" t="s">
        <v>468</v>
      </c>
      <c r="B185" s="9">
        <v>0</v>
      </c>
      <c r="C185" s="9">
        <v>2910.21889404416</v>
      </c>
      <c r="D185" s="9">
        <v>3343.168016001645</v>
      </c>
      <c r="E185" s="9">
        <v>-171.0521746719041</v>
      </c>
      <c r="F185" s="9">
        <v>3105.134562137177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T185" s="12">
        <v>0</v>
      </c>
    </row>
    <row r="186" spans="1:20">
      <c r="A186" s="4" t="s">
        <v>472</v>
      </c>
      <c r="B186" s="9">
        <v>0</v>
      </c>
      <c r="C186" s="9">
        <v>2910.218894044159</v>
      </c>
      <c r="D186" s="9">
        <v>3343.168016001644</v>
      </c>
      <c r="E186" s="9">
        <v>-171.0521746718987</v>
      </c>
      <c r="F186" s="9">
        <v>3105.134562137177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T186" s="12">
        <v>0</v>
      </c>
    </row>
    <row r="187" spans="1:20">
      <c r="A187" s="4" t="s">
        <v>476</v>
      </c>
      <c r="B187" s="9">
        <v>0</v>
      </c>
      <c r="C187" s="9">
        <v>0</v>
      </c>
      <c r="D187" s="9">
        <v>0</v>
      </c>
      <c r="E187" s="9">
        <v>0</v>
      </c>
      <c r="F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T187" s="12">
        <v>0</v>
      </c>
    </row>
    <row r="188" spans="1:20">
      <c r="A188" s="4" t="s">
        <v>478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T188" s="12">
        <v>0</v>
      </c>
    </row>
    <row r="189" spans="1:20">
      <c r="A189" s="4" t="s">
        <v>480</v>
      </c>
      <c r="B189" s="9">
        <v>0</v>
      </c>
      <c r="C189" s="9">
        <v>0</v>
      </c>
      <c r="D189" s="9">
        <v>0</v>
      </c>
      <c r="E189" s="9">
        <v>0</v>
      </c>
      <c r="F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N189" s="8">
        <v>0</v>
      </c>
      <c r="O189" s="8">
        <v>0</v>
      </c>
      <c r="P189" s="8">
        <v>0</v>
      </c>
      <c r="Q189" s="8">
        <v>0</v>
      </c>
      <c r="R189" s="8">
        <v>0</v>
      </c>
      <c r="T189" s="12">
        <v>0</v>
      </c>
    </row>
    <row r="190" spans="1:20">
      <c r="A190" s="4" t="s">
        <v>482</v>
      </c>
      <c r="B190" s="9">
        <v>0</v>
      </c>
      <c r="C190" s="9">
        <v>0</v>
      </c>
      <c r="D190" s="9">
        <v>0</v>
      </c>
      <c r="E190" s="9">
        <v>0</v>
      </c>
      <c r="F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T190" s="12">
        <v>0</v>
      </c>
    </row>
    <row r="191" spans="1:20">
      <c r="A191" s="4" t="s">
        <v>484</v>
      </c>
      <c r="B191" s="9">
        <v>0</v>
      </c>
      <c r="C191" s="9">
        <v>0</v>
      </c>
      <c r="D191" s="9">
        <v>0</v>
      </c>
      <c r="E191" s="9">
        <v>0</v>
      </c>
      <c r="F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N191" s="8">
        <v>0</v>
      </c>
      <c r="O191" s="8">
        <v>0</v>
      </c>
      <c r="P191" s="8">
        <v>0</v>
      </c>
      <c r="Q191" s="8">
        <v>0</v>
      </c>
      <c r="R191" s="8">
        <v>0</v>
      </c>
      <c r="T191" s="12">
        <v>0</v>
      </c>
    </row>
    <row r="192" spans="1:20">
      <c r="A192" s="4" t="s">
        <v>486</v>
      </c>
      <c r="B192" s="9">
        <v>0</v>
      </c>
      <c r="C192" s="9">
        <v>0</v>
      </c>
      <c r="D192" s="9">
        <v>0</v>
      </c>
      <c r="E192" s="9">
        <v>0</v>
      </c>
      <c r="F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T192" s="12">
        <v>0</v>
      </c>
    </row>
    <row r="195" spans="1:20">
      <c r="A195" s="3" t="s">
        <v>648</v>
      </c>
      <c r="B195" s="4" t="s">
        <v>619</v>
      </c>
      <c r="C195" s="8">
        <f>FN.MAXDEV(SCF_base, SCF_baseExp)</f>
        <v>0</v>
      </c>
      <c r="D195" s="12">
        <f>IF(FN.MAXDEV(SCF_base, SCF_baseExp) &lt;= Tol, "PASS", "FAIL")</f>
        <v/>
      </c>
    </row>
    <row r="196" spans="1:20">
      <c r="A196" s="3" t="s">
        <v>5</v>
      </c>
      <c r="B196" s="3" t="s">
        <v>620</v>
      </c>
      <c r="C196" s="3" t="s">
        <v>623</v>
      </c>
      <c r="D196" s="3" t="s">
        <v>626</v>
      </c>
      <c r="E196" s="3" t="s">
        <v>629</v>
      </c>
      <c r="F196" s="3" t="s">
        <v>632</v>
      </c>
      <c r="H196" s="3" t="s">
        <v>621</v>
      </c>
      <c r="I196" s="3" t="s">
        <v>624</v>
      </c>
      <c r="J196" s="3" t="s">
        <v>627</v>
      </c>
      <c r="K196" s="3" t="s">
        <v>630</v>
      </c>
      <c r="L196" s="3" t="s">
        <v>633</v>
      </c>
      <c r="N196" s="3" t="s">
        <v>622</v>
      </c>
      <c r="O196" s="3" t="s">
        <v>625</v>
      </c>
      <c r="P196" s="3" t="s">
        <v>628</v>
      </c>
      <c r="Q196" s="3" t="s">
        <v>631</v>
      </c>
      <c r="R196" s="3" t="s">
        <v>634</v>
      </c>
      <c r="T196" s="3" t="s">
        <v>635</v>
      </c>
    </row>
    <row r="197" spans="1:20">
      <c r="A197" s="4" t="s">
        <v>382</v>
      </c>
      <c r="B197" s="9">
        <v>0</v>
      </c>
      <c r="C197" s="9">
        <v>3811.818164383545</v>
      </c>
      <c r="D197" s="9">
        <v>4213.079603632854</v>
      </c>
      <c r="E197" s="9">
        <v>-2128.042296837612</v>
      </c>
      <c r="F197" s="9">
        <v>1986.541371602669</v>
      </c>
      <c r="H197" s="9" cm="1">
        <f t="array" ref="H197:L227">SCF_base</f>
        <v>0</v>
      </c>
      <c r="I197" s="9">
        <v>0</v>
      </c>
      <c r="J197" s="9">
        <v>0</v>
      </c>
      <c r="K197" s="9">
        <v>0</v>
      </c>
      <c r="L197" s="9">
        <v>0</v>
      </c>
      <c r="N197" s="8" cm="1">
        <f t="array" ref="N197:R227">FN.DEV(SCF_base, SCF_baseExp)</f>
        <v>0</v>
      </c>
      <c r="O197" s="8">
        <v>0</v>
      </c>
      <c r="P197" s="8">
        <v>0</v>
      </c>
      <c r="Q197" s="8">
        <v>0</v>
      </c>
      <c r="R197" s="8">
        <v>0</v>
      </c>
      <c r="T197" s="12" cm="1">
        <f t="array" ref="T197:T227">_xlfn.BYROW(FN.DEV(SCF_base, SCF_baseExp), _xlfn.LAMBDA(_xlpm.dev_row, IF(MAX(_xlpm.dev_row) &lt;= Tol, "PASS", "FAIL")))</f>
        <v>0</v>
      </c>
    </row>
    <row r="198" spans="1:20">
      <c r="A198" s="4" t="s">
        <v>258</v>
      </c>
      <c r="B198" s="9">
        <v>0</v>
      </c>
      <c r="C198" s="9">
        <v>0</v>
      </c>
      <c r="D198" s="9">
        <v>0</v>
      </c>
      <c r="E198" s="9">
        <v>0</v>
      </c>
      <c r="F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T198" s="12">
        <v>0</v>
      </c>
    </row>
    <row r="199" spans="1:20">
      <c r="A199" s="4" t="s">
        <v>256</v>
      </c>
      <c r="B199" s="9">
        <v>-0</v>
      </c>
      <c r="C199" s="9">
        <v>-2287.090898630127</v>
      </c>
      <c r="D199" s="9">
        <v>-2527.847762179712</v>
      </c>
      <c r="E199" s="9">
        <v>0</v>
      </c>
      <c r="F199" s="9">
        <v>-1191.924822961601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T199" s="12">
        <v>0</v>
      </c>
    </row>
    <row r="200" spans="1:20">
      <c r="A200" s="4" t="s">
        <v>390</v>
      </c>
      <c r="B200" s="9">
        <v>0</v>
      </c>
      <c r="C200" s="9">
        <v>1240.273972602741</v>
      </c>
      <c r="D200" s="9">
        <v>1489.817095890412</v>
      </c>
      <c r="E200" s="9">
        <v>1789.56829558356</v>
      </c>
      <c r="F200" s="9">
        <v>2149.629436654979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T200" s="12">
        <v>0</v>
      </c>
    </row>
    <row r="201" spans="1:20">
      <c r="A201" s="4" t="s">
        <v>439</v>
      </c>
      <c r="B201" s="9">
        <v>0</v>
      </c>
      <c r="C201" s="9">
        <v>2765.001238356159</v>
      </c>
      <c r="D201" s="9">
        <v>3175.048937343553</v>
      </c>
      <c r="E201" s="9">
        <v>-338.4740012540515</v>
      </c>
      <c r="F201" s="9">
        <v>2944.245985296047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N201" s="8">
        <v>0</v>
      </c>
      <c r="O201" s="8">
        <v>0</v>
      </c>
      <c r="P201" s="8">
        <v>0</v>
      </c>
      <c r="Q201" s="8">
        <v>0</v>
      </c>
      <c r="R201" s="8">
        <v>0</v>
      </c>
      <c r="T201" s="12">
        <v>0</v>
      </c>
    </row>
    <row r="202" spans="1:20">
      <c r="A202" s="4" t="s">
        <v>442</v>
      </c>
      <c r="B202" s="9">
        <v>16500</v>
      </c>
      <c r="C202" s="9">
        <v>19409.27497928219</v>
      </c>
      <c r="D202" s="9">
        <v>22751.33795038065</v>
      </c>
      <c r="E202" s="9">
        <v>22579.17089736032</v>
      </c>
      <c r="F202" s="9">
        <v>25683.21855385385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T202" s="12">
        <v>0</v>
      </c>
    </row>
    <row r="203" spans="1:20">
      <c r="A203" s="4" t="s">
        <v>476</v>
      </c>
      <c r="B203" s="9">
        <v>16500</v>
      </c>
      <c r="C203" s="9">
        <v>19265.00123835616</v>
      </c>
      <c r="D203" s="9">
        <v>22584.32391662574</v>
      </c>
      <c r="E203" s="9">
        <v>22412.86394912659</v>
      </c>
      <c r="F203" s="9">
        <v>25523.41688265636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N203" s="8">
        <v>0</v>
      </c>
      <c r="O203" s="8">
        <v>0</v>
      </c>
      <c r="P203" s="8">
        <v>0</v>
      </c>
      <c r="Q203" s="8">
        <v>0</v>
      </c>
      <c r="R203" s="8">
        <v>0</v>
      </c>
      <c r="T203" s="12">
        <v>0</v>
      </c>
    </row>
    <row r="204" spans="1:20">
      <c r="A204" s="4" t="s">
        <v>446</v>
      </c>
      <c r="B204" s="9">
        <v>0</v>
      </c>
      <c r="C204" s="9">
        <v>10335.61643835616</v>
      </c>
      <c r="D204" s="9">
        <v>12004.61744503561</v>
      </c>
      <c r="E204" s="9">
        <v>13856.86332024366</v>
      </c>
      <c r="F204" s="9">
        <v>11895.12797163977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T204" s="12">
        <v>0</v>
      </c>
    </row>
    <row r="205" spans="1:20">
      <c r="A205" s="4" t="s">
        <v>478</v>
      </c>
      <c r="B205" s="9">
        <v>10335.61643835616</v>
      </c>
      <c r="C205" s="9">
        <v>11860.34370410958</v>
      </c>
      <c r="D205" s="9">
        <v>13689.84928648875</v>
      </c>
      <c r="E205" s="9">
        <v>11728.82102340604</v>
      </c>
      <c r="F205" s="9">
        <v>12689.74452028083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T205" s="12">
        <v>0</v>
      </c>
    </row>
    <row r="206" spans="1:20">
      <c r="A206" s="4" t="s">
        <v>480</v>
      </c>
      <c r="B206" s="9">
        <v>10335.61643835616</v>
      </c>
      <c r="C206" s="9">
        <v>11860.34370410958</v>
      </c>
      <c r="D206" s="9">
        <v>13689.84928648875</v>
      </c>
      <c r="E206" s="9">
        <v>11728.82102340604</v>
      </c>
      <c r="F206" s="9">
        <v>12689.74452028083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N206" s="8">
        <v>0</v>
      </c>
      <c r="O206" s="8">
        <v>0</v>
      </c>
      <c r="P206" s="8">
        <v>0</v>
      </c>
      <c r="Q206" s="8">
        <v>0</v>
      </c>
      <c r="R206" s="8">
        <v>0</v>
      </c>
      <c r="T206" s="12">
        <v>0</v>
      </c>
    </row>
    <row r="207" spans="1:20">
      <c r="A207" s="4" t="s">
        <v>482</v>
      </c>
      <c r="B207" s="9">
        <v>0</v>
      </c>
      <c r="C207" s="9">
        <v>0</v>
      </c>
      <c r="D207" s="9">
        <v>0</v>
      </c>
      <c r="E207" s="9">
        <v>0</v>
      </c>
      <c r="F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N207" s="8">
        <v>0</v>
      </c>
      <c r="O207" s="8">
        <v>0</v>
      </c>
      <c r="P207" s="8">
        <v>0</v>
      </c>
      <c r="Q207" s="8">
        <v>0</v>
      </c>
      <c r="R207" s="8">
        <v>0</v>
      </c>
      <c r="T207" s="12">
        <v>0</v>
      </c>
    </row>
    <row r="208" spans="1:20">
      <c r="A208" s="4" t="s">
        <v>464</v>
      </c>
      <c r="B208" s="9">
        <v>0</v>
      </c>
      <c r="C208" s="9">
        <v>0</v>
      </c>
      <c r="D208" s="9">
        <v>0</v>
      </c>
      <c r="E208" s="9">
        <v>0</v>
      </c>
      <c r="F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T208" s="12">
        <v>0</v>
      </c>
    </row>
    <row r="209" spans="1:20">
      <c r="A209" s="4" t="s">
        <v>454</v>
      </c>
      <c r="B209" s="9">
        <v>0</v>
      </c>
      <c r="C209" s="9">
        <v>11097.98007123287</v>
      </c>
      <c r="D209" s="9">
        <v>12847.23336576218</v>
      </c>
      <c r="E209" s="9">
        <v>12792.84217182485</v>
      </c>
      <c r="F209" s="9">
        <v>12292.4362459603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N209" s="8">
        <v>0</v>
      </c>
      <c r="O209" s="8">
        <v>0</v>
      </c>
      <c r="P209" s="8">
        <v>0</v>
      </c>
      <c r="Q209" s="8">
        <v>0</v>
      </c>
      <c r="R209" s="8">
        <v>0</v>
      </c>
      <c r="T209" s="12">
        <v>0</v>
      </c>
    </row>
    <row r="210" spans="1:20">
      <c r="A210" s="4" t="s">
        <v>458</v>
      </c>
      <c r="B210" s="9">
        <v>0</v>
      </c>
      <c r="C210" s="9">
        <v>221.9596014246574</v>
      </c>
      <c r="D210" s="9">
        <v>256.9446673152436</v>
      </c>
      <c r="E210" s="9">
        <v>255.856843436497</v>
      </c>
      <c r="F210" s="9">
        <v>245.848724919206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T210" s="12">
        <v>0</v>
      </c>
    </row>
    <row r="211" spans="1:20">
      <c r="A211" s="4" t="s">
        <v>456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T211" s="12">
        <v>0</v>
      </c>
    </row>
    <row r="212" spans="1:20">
      <c r="A212" s="4" t="s">
        <v>460</v>
      </c>
      <c r="B212" s="9">
        <v>0</v>
      </c>
      <c r="C212" s="9">
        <v>0</v>
      </c>
      <c r="D212" s="9">
        <v>0</v>
      </c>
      <c r="E212" s="9">
        <v>0</v>
      </c>
      <c r="F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T212" s="12">
        <v>0</v>
      </c>
    </row>
    <row r="213" spans="1:20">
      <c r="A213" s="4" t="s">
        <v>462</v>
      </c>
      <c r="B213" s="9">
        <v>0</v>
      </c>
      <c r="C213" s="9">
        <v>221.9596014246574</v>
      </c>
      <c r="D213" s="9">
        <v>256.9446673152436</v>
      </c>
      <c r="E213" s="9">
        <v>255.856843436497</v>
      </c>
      <c r="F213" s="9">
        <v>245.848724919206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N213" s="8">
        <v>0</v>
      </c>
      <c r="O213" s="8">
        <v>0</v>
      </c>
      <c r="P213" s="8">
        <v>0</v>
      </c>
      <c r="Q213" s="8">
        <v>0</v>
      </c>
      <c r="R213" s="8">
        <v>0</v>
      </c>
      <c r="T213" s="12">
        <v>0</v>
      </c>
    </row>
    <row r="214" spans="1:20">
      <c r="A214" s="4" t="s">
        <v>388</v>
      </c>
      <c r="B214" s="9">
        <v>0</v>
      </c>
      <c r="C214" s="9">
        <v>144.2737409260274</v>
      </c>
      <c r="D214" s="9">
        <v>167.0140337549083</v>
      </c>
      <c r="E214" s="9">
        <v>166.3069482337231</v>
      </c>
      <c r="F214" s="9">
        <v>159.8016711974839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N214" s="8">
        <v>0</v>
      </c>
      <c r="O214" s="8">
        <v>0</v>
      </c>
      <c r="P214" s="8">
        <v>0</v>
      </c>
      <c r="Q214" s="8">
        <v>0</v>
      </c>
      <c r="R214" s="8">
        <v>0</v>
      </c>
      <c r="T214" s="12">
        <v>0</v>
      </c>
    </row>
    <row r="215" spans="1:20">
      <c r="A215" s="4" t="s">
        <v>392</v>
      </c>
      <c r="B215" s="9">
        <v>0</v>
      </c>
      <c r="C215" s="9">
        <v>2909.274979282187</v>
      </c>
      <c r="D215" s="9">
        <v>3342.062971098462</v>
      </c>
      <c r="E215" s="9">
        <v>-172.1670530203284</v>
      </c>
      <c r="F215" s="9">
        <v>3104.047656493531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N215" s="8">
        <v>0</v>
      </c>
      <c r="O215" s="8">
        <v>0</v>
      </c>
      <c r="P215" s="8">
        <v>0</v>
      </c>
      <c r="Q215" s="8">
        <v>0</v>
      </c>
      <c r="R215" s="8">
        <v>0</v>
      </c>
      <c r="T215" s="12">
        <v>0</v>
      </c>
    </row>
    <row r="216" spans="1:20">
      <c r="A216" s="4" t="s">
        <v>444</v>
      </c>
      <c r="B216" s="9">
        <v>10335.61643835616</v>
      </c>
      <c r="C216" s="9">
        <v>12004.61744503561</v>
      </c>
      <c r="D216" s="9">
        <v>13856.86332024366</v>
      </c>
      <c r="E216" s="9">
        <v>11895.12797163977</v>
      </c>
      <c r="F216" s="9">
        <v>12849.54619147832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N216" s="8">
        <v>0</v>
      </c>
      <c r="O216" s="8">
        <v>0</v>
      </c>
      <c r="P216" s="8">
        <v>0</v>
      </c>
      <c r="Q216" s="8">
        <v>0</v>
      </c>
      <c r="R216" s="8">
        <v>0</v>
      </c>
      <c r="T216" s="12">
        <v>0</v>
      </c>
    </row>
    <row r="217" spans="1:20">
      <c r="A217" s="4" t="s">
        <v>247</v>
      </c>
      <c r="B217" s="9">
        <v>10335.61643835616</v>
      </c>
      <c r="C217" s="9">
        <v>12004.61744503561</v>
      </c>
      <c r="D217" s="9">
        <v>13856.86332024366</v>
      </c>
      <c r="E217" s="9">
        <v>11895.12797163977</v>
      </c>
      <c r="F217" s="9">
        <v>12849.54619147832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N217" s="8">
        <v>0</v>
      </c>
      <c r="O217" s="8">
        <v>0</v>
      </c>
      <c r="P217" s="8">
        <v>0</v>
      </c>
      <c r="Q217" s="8">
        <v>0</v>
      </c>
      <c r="R217" s="8">
        <v>0</v>
      </c>
      <c r="T217" s="12">
        <v>0</v>
      </c>
    </row>
    <row r="218" spans="1:20">
      <c r="A218" s="4" t="s">
        <v>253</v>
      </c>
      <c r="B218" s="9">
        <v>0</v>
      </c>
      <c r="C218" s="9">
        <v>0</v>
      </c>
      <c r="D218" s="9">
        <v>0</v>
      </c>
      <c r="E218" s="9">
        <v>0</v>
      </c>
      <c r="F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N218" s="8">
        <v>0</v>
      </c>
      <c r="O218" s="8">
        <v>0</v>
      </c>
      <c r="P218" s="8">
        <v>0</v>
      </c>
      <c r="Q218" s="8">
        <v>0</v>
      </c>
      <c r="R218" s="8">
        <v>0</v>
      </c>
      <c r="T218" s="12">
        <v>0</v>
      </c>
    </row>
    <row r="219" spans="1:20">
      <c r="A219" s="4" t="s">
        <v>466</v>
      </c>
      <c r="B219" s="9">
        <f>NA()</f>
        <v>0</v>
      </c>
      <c r="C219" s="9">
        <v>2478.309863013702</v>
      </c>
      <c r="D219" s="9">
        <v>3035.998520876714</v>
      </c>
      <c r="E219" s="9">
        <v>3637.988236903458</v>
      </c>
      <c r="F219" s="9">
        <v>4359.623785604277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N219" s="8">
        <v>0</v>
      </c>
      <c r="O219" s="8">
        <v>0</v>
      </c>
      <c r="P219" s="8">
        <v>0</v>
      </c>
      <c r="Q219" s="8">
        <v>0</v>
      </c>
      <c r="R219" s="8">
        <v>0</v>
      </c>
      <c r="T219" s="12">
        <v>0</v>
      </c>
    </row>
    <row r="220" spans="1:20">
      <c r="A220" s="4" t="s">
        <v>468</v>
      </c>
      <c r="B220" s="9">
        <v>0</v>
      </c>
      <c r="C220" s="9">
        <v>0</v>
      </c>
      <c r="D220" s="9">
        <v>0</v>
      </c>
      <c r="E220" s="9">
        <v>0</v>
      </c>
      <c r="F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N220" s="8">
        <v>0</v>
      </c>
      <c r="O220" s="8">
        <v>0</v>
      </c>
      <c r="P220" s="8">
        <v>0</v>
      </c>
      <c r="Q220" s="8">
        <v>0</v>
      </c>
      <c r="R220" s="8">
        <v>0</v>
      </c>
      <c r="T220" s="12">
        <v>0</v>
      </c>
    </row>
    <row r="221" spans="1:20">
      <c r="A221" s="4" t="s">
        <v>470</v>
      </c>
      <c r="B221" s="9">
        <v>0</v>
      </c>
      <c r="C221" s="9">
        <v>0</v>
      </c>
      <c r="D221" s="9">
        <v>0</v>
      </c>
      <c r="E221" s="9">
        <v>0</v>
      </c>
      <c r="F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N221" s="8">
        <v>0</v>
      </c>
      <c r="O221" s="8">
        <v>0</v>
      </c>
      <c r="P221" s="8">
        <v>0</v>
      </c>
      <c r="Q221" s="8">
        <v>0</v>
      </c>
      <c r="R221" s="8">
        <v>0</v>
      </c>
      <c r="T221" s="12">
        <v>0</v>
      </c>
    </row>
    <row r="222" spans="1:20">
      <c r="A222" s="4" t="s">
        <v>472</v>
      </c>
      <c r="B222" s="9">
        <v>0</v>
      </c>
      <c r="C222" s="9">
        <v>2909.274979282185</v>
      </c>
      <c r="D222" s="9">
        <v>3342.062971098461</v>
      </c>
      <c r="E222" s="9">
        <v>-172.1670530203301</v>
      </c>
      <c r="F222" s="9">
        <v>3104.047656493531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N222" s="8">
        <v>0</v>
      </c>
      <c r="O222" s="8">
        <v>0</v>
      </c>
      <c r="P222" s="8">
        <v>0</v>
      </c>
      <c r="Q222" s="8">
        <v>0</v>
      </c>
      <c r="R222" s="8">
        <v>0</v>
      </c>
      <c r="T222" s="12">
        <v>0</v>
      </c>
    </row>
    <row r="223" spans="1:20">
      <c r="A223" s="4" t="s">
        <v>484</v>
      </c>
      <c r="B223" s="9">
        <v>0</v>
      </c>
      <c r="C223" s="9">
        <v>-1.452176556880005</v>
      </c>
      <c r="D223" s="9">
        <v>-1.700069081820402</v>
      </c>
      <c r="E223" s="9">
        <v>-1.715197459124681</v>
      </c>
      <c r="F223" s="9">
        <v>-1.672162528683117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N223" s="8">
        <v>0</v>
      </c>
      <c r="O223" s="8">
        <v>0</v>
      </c>
      <c r="P223" s="8">
        <v>0</v>
      </c>
      <c r="Q223" s="8">
        <v>0</v>
      </c>
      <c r="R223" s="8">
        <v>0</v>
      </c>
      <c r="T223" s="12">
        <v>0</v>
      </c>
    </row>
    <row r="224" spans="1:20">
      <c r="A224" s="4" t="s">
        <v>486</v>
      </c>
      <c r="B224" s="9">
        <v>0</v>
      </c>
      <c r="C224" s="9">
        <v>-0.9439147619741561</v>
      </c>
      <c r="D224" s="9">
        <v>-2.048959665156872</v>
      </c>
      <c r="E224" s="9">
        <v>-3.163838013588247</v>
      </c>
      <c r="F224" s="9">
        <v>-4.250743657234125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N224" s="8">
        <v>0</v>
      </c>
      <c r="O224" s="8">
        <v>0</v>
      </c>
      <c r="P224" s="8">
        <v>0</v>
      </c>
      <c r="Q224" s="8">
        <v>0</v>
      </c>
      <c r="R224" s="8">
        <v>0</v>
      </c>
      <c r="T224" s="12">
        <v>0</v>
      </c>
    </row>
    <row r="225" spans="1:20">
      <c r="A225" s="4" t="s">
        <v>448</v>
      </c>
      <c r="B225" s="9">
        <v>0</v>
      </c>
      <c r="C225" s="9">
        <v>0</v>
      </c>
      <c r="D225" s="9">
        <v>0</v>
      </c>
      <c r="E225" s="9">
        <v>0</v>
      </c>
      <c r="F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N225" s="8">
        <v>0</v>
      </c>
      <c r="O225" s="8">
        <v>0</v>
      </c>
      <c r="P225" s="8">
        <v>0</v>
      </c>
      <c r="Q225" s="8">
        <v>0</v>
      </c>
      <c r="R225" s="8">
        <v>0</v>
      </c>
      <c r="T225" s="12">
        <v>0</v>
      </c>
    </row>
    <row r="226" spans="1:20">
      <c r="A226" s="4" t="s">
        <v>450</v>
      </c>
      <c r="B226" s="9">
        <v>0</v>
      </c>
      <c r="C226" s="9">
        <v>0</v>
      </c>
      <c r="D226" s="9">
        <v>0</v>
      </c>
      <c r="E226" s="9">
        <v>0</v>
      </c>
      <c r="F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N226" s="8">
        <v>0</v>
      </c>
      <c r="O226" s="8">
        <v>0</v>
      </c>
      <c r="P226" s="8">
        <v>0</v>
      </c>
      <c r="Q226" s="8">
        <v>0</v>
      </c>
      <c r="R226" s="8">
        <v>0</v>
      </c>
      <c r="T226" s="12">
        <v>0</v>
      </c>
    </row>
    <row r="227" spans="1:20">
      <c r="A227" s="4" t="s">
        <v>452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N227" s="8">
        <v>0</v>
      </c>
      <c r="O227" s="8">
        <v>0</v>
      </c>
      <c r="P227" s="8">
        <v>0</v>
      </c>
      <c r="Q227" s="8">
        <v>0</v>
      </c>
      <c r="R227" s="8">
        <v>0</v>
      </c>
      <c r="T227" s="12">
        <v>0</v>
      </c>
    </row>
    <row r="230" spans="1:20">
      <c r="A230" s="3" t="s">
        <v>649</v>
      </c>
      <c r="B230" s="4" t="s">
        <v>619</v>
      </c>
      <c r="C230" s="8">
        <f>FN.MAXDEV(Unbalance_base, Unbalance_baseExp)</f>
        <v>0</v>
      </c>
      <c r="D230" s="12">
        <f>IF(FN.MAXDEV(Unbalance_base, Unbalance_baseExp) &lt;= Tol, "PASS", "FAIL")</f>
        <v/>
      </c>
    </row>
    <row r="231" spans="1:20">
      <c r="A231" s="3" t="s">
        <v>5</v>
      </c>
      <c r="B231" s="3" t="s">
        <v>620</v>
      </c>
      <c r="C231" s="3" t="s">
        <v>623</v>
      </c>
      <c r="D231" s="3" t="s">
        <v>626</v>
      </c>
      <c r="E231" s="3" t="s">
        <v>629</v>
      </c>
      <c r="F231" s="3" t="s">
        <v>632</v>
      </c>
      <c r="H231" s="3" t="s">
        <v>621</v>
      </c>
      <c r="I231" s="3" t="s">
        <v>624</v>
      </c>
      <c r="J231" s="3" t="s">
        <v>627</v>
      </c>
      <c r="K231" s="3" t="s">
        <v>630</v>
      </c>
      <c r="L231" s="3" t="s">
        <v>633</v>
      </c>
      <c r="N231" s="3" t="s">
        <v>622</v>
      </c>
      <c r="O231" s="3" t="s">
        <v>625</v>
      </c>
      <c r="P231" s="3" t="s">
        <v>628</v>
      </c>
      <c r="Q231" s="3" t="s">
        <v>631</v>
      </c>
      <c r="R231" s="3" t="s">
        <v>634</v>
      </c>
      <c r="T231" s="3" t="s">
        <v>635</v>
      </c>
    </row>
    <row r="232" spans="1:20">
      <c r="A232" s="4" t="s">
        <v>264</v>
      </c>
      <c r="B232" s="9">
        <v>0</v>
      </c>
      <c r="C232" s="9">
        <v>-2.91038304567337E-11</v>
      </c>
      <c r="D232" s="9">
        <v>-2.91038304567337E-11</v>
      </c>
      <c r="E232" s="9">
        <v>0</v>
      </c>
      <c r="F232" s="9">
        <v>-2.91038304567337E-11</v>
      </c>
      <c r="H232" s="9" cm="1">
        <f t="array" ref="H232:L232">Unbalance_base</f>
        <v>0</v>
      </c>
      <c r="I232" s="9">
        <v>0</v>
      </c>
      <c r="J232" s="9">
        <v>0</v>
      </c>
      <c r="K232" s="9">
        <v>0</v>
      </c>
      <c r="L232" s="9">
        <v>0</v>
      </c>
      <c r="N232" s="8" cm="1">
        <f t="array" ref="N232:R232">FN.DEV(Unbalance_base, Unbalance_baseExp)</f>
        <v>0</v>
      </c>
      <c r="O232" s="8">
        <v>0</v>
      </c>
      <c r="P232" s="8">
        <v>0</v>
      </c>
      <c r="Q232" s="8">
        <v>0</v>
      </c>
      <c r="R232" s="8">
        <v>0</v>
      </c>
      <c r="T232" s="12" cm="1">
        <f t="array" ref="T232">_xlfn.BYROW(FN.DEV(Unbalance_base, Unbalance_baseExp), _xlfn.LAMBDA(_xlpm.dev_row, IF(MAX(_xlpm.dev_row) &lt;= Tol, "PASS", "FAIL")))</f>
        <v>0</v>
      </c>
    </row>
    <row r="235" spans="1:20">
      <c r="A235" s="3" t="s">
        <v>650</v>
      </c>
      <c r="B235" s="4" t="s">
        <v>619</v>
      </c>
      <c r="C235" s="8">
        <f>FN.MAXDEV(ParityA_base, ParityA_baseExp)</f>
        <v>0</v>
      </c>
      <c r="D235" s="12">
        <f>IF(FN.MAXDEV(ParityA_base, ParityA_baseExp) &lt;= Tol, "PASS", "FAIL")</f>
        <v/>
      </c>
    </row>
    <row r="236" spans="1:20">
      <c r="A236" s="3" t="s">
        <v>5</v>
      </c>
      <c r="B236" s="3" t="s">
        <v>620</v>
      </c>
      <c r="C236" s="3" t="s">
        <v>623</v>
      </c>
      <c r="D236" s="3" t="s">
        <v>626</v>
      </c>
      <c r="E236" s="3" t="s">
        <v>629</v>
      </c>
      <c r="F236" s="3" t="s">
        <v>632</v>
      </c>
      <c r="H236" s="3" t="s">
        <v>621</v>
      </c>
      <c r="I236" s="3" t="s">
        <v>624</v>
      </c>
      <c r="J236" s="3" t="s">
        <v>627</v>
      </c>
      <c r="K236" s="3" t="s">
        <v>630</v>
      </c>
      <c r="L236" s="3" t="s">
        <v>633</v>
      </c>
      <c r="N236" s="3" t="s">
        <v>622</v>
      </c>
      <c r="O236" s="3" t="s">
        <v>625</v>
      </c>
      <c r="P236" s="3" t="s">
        <v>628</v>
      </c>
      <c r="Q236" s="3" t="s">
        <v>631</v>
      </c>
      <c r="R236" s="3" t="s">
        <v>634</v>
      </c>
      <c r="T236" s="3" t="s">
        <v>635</v>
      </c>
    </row>
    <row r="237" spans="1:20">
      <c r="A237" s="4" t="s">
        <v>470</v>
      </c>
      <c r="B237" s="9">
        <v>0</v>
      </c>
      <c r="C237" s="9">
        <v>-1.364242052659392E-12</v>
      </c>
      <c r="D237" s="9">
        <v>-4.547473508864641E-13</v>
      </c>
      <c r="E237" s="9">
        <v>6.764366844436154E-12</v>
      </c>
      <c r="F237" s="9">
        <v>-2.728484105318785E-12</v>
      </c>
      <c r="H237" s="9" cm="1">
        <f t="array" ref="H237:L237">ParityA_base</f>
        <v>0</v>
      </c>
      <c r="I237" s="9">
        <v>0</v>
      </c>
      <c r="J237" s="9">
        <v>0</v>
      </c>
      <c r="K237" s="9">
        <v>0</v>
      </c>
      <c r="L237" s="9">
        <v>0</v>
      </c>
      <c r="N237" s="8" cm="1">
        <f t="array" ref="N237:R237">FN.DEV(ParityA_base, ParityA_baseExp)</f>
        <v>0</v>
      </c>
      <c r="O237" s="8">
        <v>0</v>
      </c>
      <c r="P237" s="8">
        <v>0</v>
      </c>
      <c r="Q237" s="8">
        <v>0</v>
      </c>
      <c r="R237" s="8">
        <v>0</v>
      </c>
      <c r="T237" s="12" cm="1">
        <f t="array" ref="T237">_xlfn.BYROW(FN.DEV(ParityA_base, ParityA_baseExp), _xlfn.LAMBDA(_xlpm.dev_row, IF(MAX(_xlpm.dev_row) &lt;= Tol, "PASS", "FAIL")))</f>
        <v>0</v>
      </c>
    </row>
    <row r="240" spans="1:20">
      <c r="A240" s="3" t="s">
        <v>651</v>
      </c>
      <c r="B240" s="4" t="s">
        <v>619</v>
      </c>
      <c r="C240" s="8">
        <f>FN.MAXDEV(ParityB_base, ParityB_baseExp)</f>
        <v>0</v>
      </c>
      <c r="D240" s="12">
        <f>IF(FN.MAXDEV(ParityB_base, ParityB_baseExp) &lt;= Tol, "PASS", "FAIL")</f>
        <v/>
      </c>
    </row>
    <row r="241" spans="1:20">
      <c r="A241" s="3" t="s">
        <v>5</v>
      </c>
      <c r="B241" s="3" t="s">
        <v>620</v>
      </c>
      <c r="C241" s="3" t="s">
        <v>623</v>
      </c>
      <c r="D241" s="3" t="s">
        <v>626</v>
      </c>
      <c r="E241" s="3" t="s">
        <v>629</v>
      </c>
      <c r="F241" s="3" t="s">
        <v>632</v>
      </c>
      <c r="H241" s="3" t="s">
        <v>621</v>
      </c>
      <c r="I241" s="3" t="s">
        <v>624</v>
      </c>
      <c r="J241" s="3" t="s">
        <v>627</v>
      </c>
      <c r="K241" s="3" t="s">
        <v>630</v>
      </c>
      <c r="L241" s="3" t="s">
        <v>633</v>
      </c>
      <c r="N241" s="3" t="s">
        <v>622</v>
      </c>
      <c r="O241" s="3" t="s">
        <v>625</v>
      </c>
      <c r="P241" s="3" t="s">
        <v>628</v>
      </c>
      <c r="Q241" s="3" t="s">
        <v>631</v>
      </c>
      <c r="R241" s="3" t="s">
        <v>634</v>
      </c>
      <c r="T241" s="3" t="s">
        <v>635</v>
      </c>
    </row>
    <row r="242" spans="1:20">
      <c r="A242" s="4" t="s">
        <v>474</v>
      </c>
      <c r="B242" s="9">
        <v>0</v>
      </c>
      <c r="C242" s="9">
        <v>-4.547473508864641E-13</v>
      </c>
      <c r="D242" s="9">
        <v>9.094947017729282E-13</v>
      </c>
      <c r="E242" s="9">
        <v>1.307398633798584E-12</v>
      </c>
      <c r="F242" s="9">
        <v>-1.818989403545856E-12</v>
      </c>
      <c r="H242" s="9" cm="1">
        <f t="array" ref="H242:L242">ParityB_base</f>
        <v>0</v>
      </c>
      <c r="I242" s="9">
        <v>0</v>
      </c>
      <c r="J242" s="9">
        <v>0</v>
      </c>
      <c r="K242" s="9">
        <v>0</v>
      </c>
      <c r="L242" s="9">
        <v>0</v>
      </c>
      <c r="N242" s="8" cm="1">
        <f t="array" ref="N242:R242">FN.DEV(ParityB_base, ParityB_baseExp)</f>
        <v>0</v>
      </c>
      <c r="O242" s="8">
        <v>0</v>
      </c>
      <c r="P242" s="8">
        <v>0</v>
      </c>
      <c r="Q242" s="8">
        <v>0</v>
      </c>
      <c r="R242" s="8">
        <v>0</v>
      </c>
      <c r="T242" s="12" cm="1">
        <f t="array" ref="T242">_xlfn.BYROW(FN.DEV(ParityB_base, ParityB_baseExp), _xlfn.LAMBDA(_xlpm.dev_row, IF(MAX(_xlpm.dev_row) &lt;= Tol, "PASS", "FAIL")))</f>
        <v>0</v>
      </c>
    </row>
    <row r="245" spans="1:20">
      <c r="A245" s="3" t="s">
        <v>652</v>
      </c>
      <c r="B245" s="4" t="s">
        <v>619</v>
      </c>
      <c r="C245" s="8">
        <f>FN.MAXDEV(SCFParityB_base, SCFParityB_baseExp)</f>
        <v>0</v>
      </c>
      <c r="D245" s="12">
        <f>IF(FN.MAXDEV(SCFParityB_base, SCFParityB_baseExp) &lt;= Tol, "PASS", "FAIL")</f>
        <v/>
      </c>
    </row>
    <row r="246" spans="1:20">
      <c r="A246" s="3" t="s">
        <v>5</v>
      </c>
      <c r="B246" s="3" t="s">
        <v>620</v>
      </c>
      <c r="C246" s="3" t="s">
        <v>623</v>
      </c>
      <c r="D246" s="3" t="s">
        <v>626</v>
      </c>
      <c r="E246" s="3" t="s">
        <v>629</v>
      </c>
      <c r="F246" s="3" t="s">
        <v>632</v>
      </c>
      <c r="H246" s="3" t="s">
        <v>621</v>
      </c>
      <c r="I246" s="3" t="s">
        <v>624</v>
      </c>
      <c r="J246" s="3" t="s">
        <v>627</v>
      </c>
      <c r="K246" s="3" t="s">
        <v>630</v>
      </c>
      <c r="L246" s="3" t="s">
        <v>633</v>
      </c>
      <c r="N246" s="3" t="s">
        <v>622</v>
      </c>
      <c r="O246" s="3" t="s">
        <v>625</v>
      </c>
      <c r="P246" s="3" t="s">
        <v>628</v>
      </c>
      <c r="Q246" s="3" t="s">
        <v>631</v>
      </c>
      <c r="R246" s="3" t="s">
        <v>634</v>
      </c>
      <c r="T246" s="3" t="s">
        <v>635</v>
      </c>
    </row>
    <row r="247" spans="1:20">
      <c r="A247" s="4" t="s">
        <v>474</v>
      </c>
      <c r="B247" s="9">
        <v>0</v>
      </c>
      <c r="C247" s="9">
        <v>1.818989403545856E-12</v>
      </c>
      <c r="D247" s="9">
        <v>4.547473508864641E-13</v>
      </c>
      <c r="E247" s="9">
        <v>1.648459146963432E-12</v>
      </c>
      <c r="F247" s="9">
        <v>0</v>
      </c>
      <c r="H247" s="9" cm="1">
        <f t="array" ref="H247:L247">SCFParityB_base</f>
        <v>0</v>
      </c>
      <c r="I247" s="9">
        <v>0</v>
      </c>
      <c r="J247" s="9">
        <v>0</v>
      </c>
      <c r="K247" s="9">
        <v>0</v>
      </c>
      <c r="L247" s="9">
        <v>0</v>
      </c>
      <c r="N247" s="8" cm="1">
        <f t="array" ref="N247:R247">FN.DEV(SCFParityB_base, SCFParityB_baseExp)</f>
        <v>0</v>
      </c>
      <c r="O247" s="8">
        <v>0</v>
      </c>
      <c r="P247" s="8">
        <v>0</v>
      </c>
      <c r="Q247" s="8">
        <v>0</v>
      </c>
      <c r="R247" s="8">
        <v>0</v>
      </c>
      <c r="T247" s="12" cm="1">
        <f t="array" ref="T247">_xlfn.BYROW(FN.DEV(SCFParityB_base, SCFParityB_baseExp), _xlfn.LAMBDA(_xlpm.dev_row, IF(MAX(_xlpm.dev_row) &lt;= Tol, "PASS", "FAIL")))</f>
        <v>0</v>
      </c>
    </row>
    <row r="250" spans="1:20">
      <c r="A250" s="3" t="s">
        <v>653</v>
      </c>
      <c r="B250" s="4" t="s">
        <v>619</v>
      </c>
      <c r="C250" s="8">
        <f>FN.MAXDEV(SalesCOGS_payout, SalesCOGS_payoutExp)</f>
        <v>0</v>
      </c>
      <c r="D250" s="12">
        <f>IF(FN.MAXDEV(SalesCOGS_payout, SalesCOGS_payoutExp) &lt;= Tol, "PASS", "FAIL")</f>
        <v/>
      </c>
    </row>
    <row r="251" spans="1:20">
      <c r="A251" s="3" t="s">
        <v>5</v>
      </c>
      <c r="B251" s="3" t="s">
        <v>620</v>
      </c>
      <c r="C251" s="3" t="s">
        <v>623</v>
      </c>
      <c r="D251" s="3" t="s">
        <v>626</v>
      </c>
      <c r="E251" s="3" t="s">
        <v>629</v>
      </c>
      <c r="F251" s="3" t="s">
        <v>632</v>
      </c>
      <c r="H251" s="3" t="s">
        <v>621</v>
      </c>
      <c r="I251" s="3" t="s">
        <v>624</v>
      </c>
      <c r="J251" s="3" t="s">
        <v>627</v>
      </c>
      <c r="K251" s="3" t="s">
        <v>630</v>
      </c>
      <c r="L251" s="3" t="s">
        <v>633</v>
      </c>
      <c r="N251" s="3" t="s">
        <v>622</v>
      </c>
      <c r="O251" s="3" t="s">
        <v>625</v>
      </c>
      <c r="P251" s="3" t="s">
        <v>628</v>
      </c>
      <c r="Q251" s="3" t="s">
        <v>631</v>
      </c>
      <c r="R251" s="3" t="s">
        <v>634</v>
      </c>
      <c r="T251" s="3" t="s">
        <v>635</v>
      </c>
    </row>
    <row r="252" spans="1:20">
      <c r="A252" s="4" t="s">
        <v>45</v>
      </c>
      <c r="B252" s="9">
        <v>10000</v>
      </c>
      <c r="C252" s="9">
        <v>10500</v>
      </c>
      <c r="D252" s="9">
        <v>11025</v>
      </c>
      <c r="E252" s="9">
        <v>11576.25</v>
      </c>
      <c r="F252" s="9">
        <v>12155.0625</v>
      </c>
      <c r="H252" s="9" cm="1">
        <f t="array" ref="H252:L257">SalesCOGS_payout</f>
        <v>0</v>
      </c>
      <c r="I252" s="9">
        <v>0</v>
      </c>
      <c r="J252" s="9">
        <v>0</v>
      </c>
      <c r="K252" s="9">
        <v>0</v>
      </c>
      <c r="L252" s="9">
        <v>0</v>
      </c>
      <c r="N252" s="8" cm="1">
        <f t="array" ref="N252:R257">FN.DEV(SalesCOGS_payout, SalesCOGS_payoutExp)</f>
        <v>0</v>
      </c>
      <c r="O252" s="8">
        <v>0</v>
      </c>
      <c r="P252" s="8">
        <v>0</v>
      </c>
      <c r="Q252" s="8">
        <v>0</v>
      </c>
      <c r="R252" s="8">
        <v>0</v>
      </c>
      <c r="T252" s="12" cm="1">
        <f t="array" ref="T252:T257">_xlfn.BYROW(FN.DEV(SalesCOGS_payout, SalesCOGS_payoutExp), _xlfn.LAMBDA(_xlpm.dev_row, IF(MAX(_xlpm.dev_row) &lt;= Tol, "PASS", "FAIL")))</f>
        <v>0</v>
      </c>
    </row>
    <row r="253" spans="1:20">
      <c r="A253" s="4" t="s">
        <v>57</v>
      </c>
      <c r="B253" s="9">
        <v>0.1</v>
      </c>
      <c r="C253" s="9">
        <v>0.11</v>
      </c>
      <c r="D253" s="9">
        <v>0.121</v>
      </c>
      <c r="E253" s="9">
        <v>0.1331</v>
      </c>
      <c r="F253" s="9">
        <v>0.14641</v>
      </c>
      <c r="H253" s="9">
        <v>0</v>
      </c>
      <c r="I253" s="9">
        <v>0</v>
      </c>
      <c r="J253" s="9">
        <v>0</v>
      </c>
      <c r="K253" s="9">
        <v>0</v>
      </c>
      <c r="L253" s="9">
        <v>0</v>
      </c>
      <c r="N253" s="8">
        <v>0</v>
      </c>
      <c r="O253" s="8">
        <v>0</v>
      </c>
      <c r="P253" s="8">
        <v>0</v>
      </c>
      <c r="Q253" s="8">
        <v>0</v>
      </c>
      <c r="R253" s="8">
        <v>0</v>
      </c>
      <c r="T253" s="12">
        <v>0</v>
      </c>
    </row>
    <row r="254" spans="1:20">
      <c r="A254" s="4" t="s">
        <v>44</v>
      </c>
      <c r="B254" s="9">
        <v>1000</v>
      </c>
      <c r="C254" s="9">
        <v>1155</v>
      </c>
      <c r="D254" s="9">
        <v>1334.025</v>
      </c>
      <c r="E254" s="9">
        <v>1540.798875</v>
      </c>
      <c r="F254" s="9">
        <v>1779.622700625001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N254" s="8">
        <v>0</v>
      </c>
      <c r="O254" s="8">
        <v>0</v>
      </c>
      <c r="P254" s="8">
        <v>0</v>
      </c>
      <c r="Q254" s="8">
        <v>0</v>
      </c>
      <c r="R254" s="8">
        <v>0</v>
      </c>
      <c r="T254" s="12">
        <v>0</v>
      </c>
    </row>
    <row r="255" spans="1:20">
      <c r="A255" s="4" t="s">
        <v>60</v>
      </c>
      <c r="B255" s="9">
        <v>75</v>
      </c>
      <c r="C255" s="9">
        <v>78</v>
      </c>
      <c r="D255" s="9">
        <v>81.12</v>
      </c>
      <c r="E255" s="9">
        <v>84.3648</v>
      </c>
      <c r="F255" s="9">
        <v>87.73939200000001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N255" s="8">
        <v>0</v>
      </c>
      <c r="O255" s="8">
        <v>0</v>
      </c>
      <c r="P255" s="8">
        <v>0</v>
      </c>
      <c r="Q255" s="8">
        <v>0</v>
      </c>
      <c r="R255" s="8">
        <v>0</v>
      </c>
      <c r="T255" s="12">
        <v>0</v>
      </c>
    </row>
    <row r="256" spans="1:20">
      <c r="A256" s="4" t="s">
        <v>63</v>
      </c>
      <c r="B256" s="9">
        <v>16</v>
      </c>
      <c r="C256" s="9">
        <v>16.16</v>
      </c>
      <c r="D256" s="9">
        <v>16.3216</v>
      </c>
      <c r="E256" s="9">
        <v>16.484816</v>
      </c>
      <c r="F256" s="9">
        <v>16.64966416</v>
      </c>
      <c r="H256" s="9">
        <v>0</v>
      </c>
      <c r="I256" s="9">
        <v>0</v>
      </c>
      <c r="J256" s="9">
        <v>0</v>
      </c>
      <c r="K256" s="9">
        <v>0</v>
      </c>
      <c r="L256" s="9">
        <v>0</v>
      </c>
      <c r="N256" s="8">
        <v>0</v>
      </c>
      <c r="O256" s="8">
        <v>0</v>
      </c>
      <c r="P256" s="8">
        <v>0</v>
      </c>
      <c r="Q256" s="8">
        <v>0</v>
      </c>
      <c r="R256" s="8">
        <v>0</v>
      </c>
      <c r="T256" s="12">
        <v>0</v>
      </c>
    </row>
    <row r="257" spans="1:20">
      <c r="A257" s="4" t="s">
        <v>66</v>
      </c>
      <c r="B257" s="9">
        <v>13.6</v>
      </c>
      <c r="C257" s="9">
        <v>14.144</v>
      </c>
      <c r="D257" s="9">
        <v>14.70976</v>
      </c>
      <c r="E257" s="9">
        <v>15.2981504</v>
      </c>
      <c r="F257" s="9">
        <v>15.910076416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T257" s="12">
        <v>0</v>
      </c>
    </row>
    <row r="260" spans="1:20">
      <c r="A260" s="3" t="s">
        <v>654</v>
      </c>
      <c r="B260" s="4" t="s">
        <v>619</v>
      </c>
      <c r="C260" s="8">
        <f>FN.MAXDEV(Assumpt_payout, Assumpt_payoutExp)</f>
        <v>0</v>
      </c>
      <c r="D260" s="12">
        <f>IF(FN.MAXDEV(Assumpt_payout, Assumpt_payoutExp) &lt;= Tol, "PASS", "FAIL")</f>
        <v/>
      </c>
    </row>
    <row r="261" spans="1:20">
      <c r="A261" s="3" t="s">
        <v>5</v>
      </c>
      <c r="B261" s="3" t="s">
        <v>655</v>
      </c>
      <c r="D261" s="3" t="s">
        <v>656</v>
      </c>
      <c r="F261" s="3" t="s">
        <v>657</v>
      </c>
      <c r="H261" s="3" t="s">
        <v>635</v>
      </c>
    </row>
    <row r="262" spans="1:20">
      <c r="A262" s="4" t="s">
        <v>26</v>
      </c>
      <c r="B262" s="9">
        <v>196000</v>
      </c>
      <c r="D262" s="9" cm="1">
        <f t="array" ref="D262:D292">Assumpt_payout</f>
        <v>0</v>
      </c>
      <c r="F262" s="8" cm="1">
        <f t="array" ref="F262:F292">FN.DEV(Assumpt_payout, Assumpt_payoutExp)</f>
        <v>0</v>
      </c>
      <c r="H262" s="12" cm="1">
        <f t="array" ref="H262:H292">_xlfn.BYROW(FN.DEV(Assumpt_payout, Assumpt_payoutExp), _xlfn.LAMBDA(_xlpm.dev_row, IF(MAX(_xlpm.dev_row) &lt;= Tol, "PASS", "FAIL")))</f>
        <v>0</v>
      </c>
    </row>
    <row r="263" spans="1:20">
      <c r="A263" s="4" t="s">
        <v>27</v>
      </c>
      <c r="B263" s="9">
        <v>0.05</v>
      </c>
      <c r="D263" s="9">
        <v>0</v>
      </c>
      <c r="F263" s="8">
        <v>0</v>
      </c>
      <c r="H263" s="12">
        <v>0</v>
      </c>
    </row>
    <row r="264" spans="1:20">
      <c r="A264" s="4" t="s">
        <v>28</v>
      </c>
      <c r="B264" s="9">
        <v>0.1</v>
      </c>
      <c r="D264" s="9">
        <v>0</v>
      </c>
      <c r="F264" s="8">
        <v>0</v>
      </c>
      <c r="H264" s="12">
        <v>0</v>
      </c>
    </row>
    <row r="265" spans="1:20">
      <c r="A265" s="4" t="s">
        <v>29</v>
      </c>
      <c r="B265" s="9">
        <v>0.04</v>
      </c>
      <c r="D265" s="9">
        <v>0</v>
      </c>
      <c r="F265" s="8">
        <v>0</v>
      </c>
      <c r="H265" s="12">
        <v>0</v>
      </c>
    </row>
    <row r="266" spans="1:20">
      <c r="A266" s="4" t="s">
        <v>30</v>
      </c>
      <c r="B266" s="9">
        <v>0.01</v>
      </c>
      <c r="D266" s="9">
        <v>0</v>
      </c>
      <c r="F266" s="8">
        <v>0</v>
      </c>
      <c r="H266" s="12">
        <v>0</v>
      </c>
    </row>
    <row r="267" spans="1:20">
      <c r="A267" s="4" t="s">
        <v>31</v>
      </c>
      <c r="B267" s="9">
        <v>0.04</v>
      </c>
      <c r="D267" s="9">
        <v>0</v>
      </c>
      <c r="F267" s="8">
        <v>0</v>
      </c>
      <c r="H267" s="12">
        <v>0</v>
      </c>
    </row>
    <row r="268" spans="1:20">
      <c r="A268" s="4" t="s">
        <v>32</v>
      </c>
      <c r="B268" s="9">
        <v>0.15</v>
      </c>
      <c r="D268" s="9">
        <v>0</v>
      </c>
      <c r="F268" s="8">
        <v>0</v>
      </c>
      <c r="H268" s="12">
        <v>0</v>
      </c>
    </row>
    <row r="269" spans="1:20">
      <c r="A269" s="4" t="s">
        <v>33</v>
      </c>
      <c r="B269" s="9">
        <v>0.18</v>
      </c>
      <c r="D269" s="9">
        <v>0</v>
      </c>
      <c r="F269" s="8">
        <v>0</v>
      </c>
      <c r="H269" s="12">
        <v>0</v>
      </c>
    </row>
    <row r="270" spans="1:20">
      <c r="A270" s="4" t="s">
        <v>34</v>
      </c>
      <c r="B270" s="9">
        <v>30</v>
      </c>
      <c r="D270" s="9">
        <v>0</v>
      </c>
      <c r="F270" s="8">
        <v>0</v>
      </c>
      <c r="H270" s="12">
        <v>0</v>
      </c>
    </row>
    <row r="271" spans="1:20">
      <c r="A271" s="4" t="s">
        <v>35</v>
      </c>
      <c r="B271" s="9">
        <v>60</v>
      </c>
      <c r="D271" s="9">
        <v>0</v>
      </c>
      <c r="F271" s="8">
        <v>0</v>
      </c>
      <c r="H271" s="12">
        <v>0</v>
      </c>
    </row>
    <row r="272" spans="1:20">
      <c r="A272" s="4" t="s">
        <v>36</v>
      </c>
      <c r="B272" s="9">
        <v>30</v>
      </c>
      <c r="D272" s="9">
        <v>0</v>
      </c>
      <c r="F272" s="8">
        <v>0</v>
      </c>
      <c r="H272" s="12">
        <v>0</v>
      </c>
    </row>
    <row r="273" spans="1:8">
      <c r="A273" s="4" t="s">
        <v>37</v>
      </c>
      <c r="B273" s="9">
        <v>45</v>
      </c>
      <c r="D273" s="9">
        <v>0</v>
      </c>
      <c r="F273" s="8">
        <v>0</v>
      </c>
      <c r="H273" s="12">
        <v>0</v>
      </c>
    </row>
    <row r="274" spans="1:8">
      <c r="A274" s="4" t="s">
        <v>38</v>
      </c>
      <c r="B274" s="9">
        <v>15</v>
      </c>
      <c r="D274" s="9">
        <v>0</v>
      </c>
      <c r="F274" s="8">
        <v>0</v>
      </c>
      <c r="H274" s="12">
        <v>0</v>
      </c>
    </row>
    <row r="275" spans="1:8">
      <c r="A275" s="4" t="s">
        <v>39</v>
      </c>
      <c r="B275" s="9">
        <v>45</v>
      </c>
      <c r="D275" s="9">
        <v>0</v>
      </c>
      <c r="F275" s="8">
        <v>0</v>
      </c>
      <c r="H275" s="12">
        <v>0</v>
      </c>
    </row>
    <row r="276" spans="1:8">
      <c r="A276" s="4" t="s">
        <v>40</v>
      </c>
      <c r="B276" s="9">
        <v>50000</v>
      </c>
      <c r="D276" s="9">
        <v>0</v>
      </c>
      <c r="F276" s="8">
        <v>0</v>
      </c>
      <c r="H276" s="12">
        <v>0</v>
      </c>
    </row>
    <row r="277" spans="1:8">
      <c r="A277" s="4" t="s">
        <v>41</v>
      </c>
      <c r="B277" s="9">
        <v>0.1</v>
      </c>
      <c r="D277" s="9">
        <v>0</v>
      </c>
      <c r="F277" s="8">
        <v>0</v>
      </c>
      <c r="H277" s="12">
        <v>0</v>
      </c>
    </row>
    <row r="278" spans="1:8">
      <c r="A278" s="4" t="s">
        <v>42</v>
      </c>
      <c r="B278" s="9">
        <v>0.9</v>
      </c>
      <c r="D278" s="9">
        <v>0</v>
      </c>
      <c r="F278" s="8">
        <v>0</v>
      </c>
      <c r="H278" s="12">
        <v>0</v>
      </c>
    </row>
    <row r="279" spans="1:8">
      <c r="A279" s="4" t="s">
        <v>43</v>
      </c>
      <c r="B279" s="9">
        <v>16500</v>
      </c>
      <c r="D279" s="9">
        <v>0</v>
      </c>
      <c r="F279" s="8">
        <v>0</v>
      </c>
      <c r="H279" s="12">
        <v>0</v>
      </c>
    </row>
    <row r="280" spans="1:8">
      <c r="A280" s="4" t="s">
        <v>44</v>
      </c>
      <c r="B280" s="9">
        <v>1000</v>
      </c>
      <c r="D280" s="9">
        <v>0</v>
      </c>
      <c r="F280" s="8">
        <v>0</v>
      </c>
      <c r="H280" s="12">
        <v>0</v>
      </c>
    </row>
    <row r="281" spans="1:8">
      <c r="A281" s="4" t="s">
        <v>45</v>
      </c>
      <c r="B281" s="9">
        <v>10000</v>
      </c>
      <c r="D281" s="9">
        <v>0</v>
      </c>
      <c r="F281" s="8">
        <v>0</v>
      </c>
      <c r="H281" s="12">
        <v>0</v>
      </c>
    </row>
    <row r="282" spans="1:8">
      <c r="A282" s="4" t="s">
        <v>46</v>
      </c>
      <c r="B282" s="9">
        <v>75000</v>
      </c>
      <c r="D282" s="9">
        <v>0</v>
      </c>
      <c r="F282" s="8">
        <v>0</v>
      </c>
      <c r="H282" s="12">
        <v>0</v>
      </c>
    </row>
    <row r="283" spans="1:8">
      <c r="A283" s="4" t="s">
        <v>47</v>
      </c>
      <c r="B283" s="9">
        <v>-16000</v>
      </c>
      <c r="D283" s="9">
        <v>0</v>
      </c>
      <c r="F283" s="8">
        <v>0</v>
      </c>
      <c r="H283" s="12">
        <v>0</v>
      </c>
    </row>
    <row r="284" spans="1:8">
      <c r="A284" s="4" t="s">
        <v>48</v>
      </c>
      <c r="B284" s="9">
        <v>-13600</v>
      </c>
      <c r="D284" s="9">
        <v>0</v>
      </c>
      <c r="F284" s="8">
        <v>0</v>
      </c>
      <c r="H284" s="12">
        <v>0</v>
      </c>
    </row>
    <row r="285" spans="1:8">
      <c r="A285" s="4" t="s">
        <v>49</v>
      </c>
      <c r="B285" s="9">
        <v>-9800</v>
      </c>
      <c r="D285" s="9">
        <v>0</v>
      </c>
      <c r="F285" s="8">
        <v>0</v>
      </c>
      <c r="H285" s="12">
        <v>0</v>
      </c>
    </row>
    <row r="286" spans="1:8">
      <c r="A286" s="4" t="s">
        <v>50</v>
      </c>
      <c r="B286" s="9">
        <v>-16500</v>
      </c>
      <c r="D286" s="9">
        <v>0</v>
      </c>
      <c r="F286" s="8">
        <v>0</v>
      </c>
      <c r="H286" s="12">
        <v>0</v>
      </c>
    </row>
    <row r="287" spans="1:8">
      <c r="A287" s="4" t="s">
        <v>51</v>
      </c>
      <c r="B287" s="9">
        <v>-4580</v>
      </c>
      <c r="D287" s="9">
        <v>0</v>
      </c>
      <c r="F287" s="8">
        <v>0</v>
      </c>
      <c r="H287" s="12">
        <v>0</v>
      </c>
    </row>
    <row r="288" spans="1:8">
      <c r="A288" s="4" t="s">
        <v>52</v>
      </c>
      <c r="B288" s="9">
        <v>-1380</v>
      </c>
      <c r="D288" s="9">
        <v>0</v>
      </c>
      <c r="F288" s="8">
        <v>0</v>
      </c>
      <c r="H288" s="12">
        <v>0</v>
      </c>
    </row>
    <row r="289" spans="1:8">
      <c r="A289" s="4" t="s">
        <v>57</v>
      </c>
      <c r="B289" s="9">
        <v>0.1</v>
      </c>
      <c r="D289" s="9">
        <v>0</v>
      </c>
      <c r="F289" s="8">
        <v>0</v>
      </c>
      <c r="H289" s="12">
        <v>0</v>
      </c>
    </row>
    <row r="290" spans="1:8">
      <c r="A290" s="4" t="s">
        <v>60</v>
      </c>
      <c r="B290" s="9">
        <v>75</v>
      </c>
      <c r="D290" s="9">
        <v>0</v>
      </c>
      <c r="F290" s="8">
        <v>0</v>
      </c>
      <c r="H290" s="12">
        <v>0</v>
      </c>
    </row>
    <row r="291" spans="1:8">
      <c r="A291" s="4" t="s">
        <v>63</v>
      </c>
      <c r="B291" s="9">
        <v>16</v>
      </c>
      <c r="D291" s="9">
        <v>0</v>
      </c>
      <c r="F291" s="8">
        <v>0</v>
      </c>
      <c r="H291" s="12">
        <v>0</v>
      </c>
    </row>
    <row r="292" spans="1:8">
      <c r="A292" s="4" t="s">
        <v>66</v>
      </c>
      <c r="B292" s="9">
        <v>13.6</v>
      </c>
      <c r="D292" s="9">
        <v>0</v>
      </c>
      <c r="F292" s="8">
        <v>0</v>
      </c>
      <c r="H292" s="12">
        <v>0</v>
      </c>
    </row>
    <row r="295" spans="1:8">
      <c r="A295" s="3" t="s">
        <v>658</v>
      </c>
      <c r="B295" s="4" t="s">
        <v>619</v>
      </c>
      <c r="C295" s="8">
        <f>FN.MAXDEV(Rates_payout, Rates_payoutExp)</f>
        <v>0</v>
      </c>
      <c r="D295" s="12">
        <f>IF(FN.MAXDEV(Rates_payout, Rates_payoutExp) &lt;= Tol, "PASS", "FAIL")</f>
        <v/>
      </c>
    </row>
    <row r="296" spans="1:8">
      <c r="A296" s="3" t="s">
        <v>5</v>
      </c>
      <c r="B296" s="3" t="s">
        <v>655</v>
      </c>
      <c r="D296" s="3" t="s">
        <v>656</v>
      </c>
      <c r="F296" s="3" t="s">
        <v>657</v>
      </c>
      <c r="H296" s="3" t="s">
        <v>635</v>
      </c>
    </row>
    <row r="297" spans="1:8">
      <c r="A297" s="4" t="s">
        <v>88</v>
      </c>
      <c r="B297" s="9">
        <v>0.08</v>
      </c>
      <c r="D297" s="9" cm="1">
        <f t="array" ref="D297:D301">Rates_payout</f>
        <v>0</v>
      </c>
      <c r="F297" s="8" cm="1">
        <f t="array" ref="F297:F301">FN.DEV(Rates_payout, Rates_payoutExp)</f>
        <v>0</v>
      </c>
      <c r="H297" s="12" cm="1">
        <f t="array" ref="H297:H301">_xlfn.BYROW(FN.DEV(Rates_payout, Rates_payoutExp), _xlfn.LAMBDA(_xlpm.dev_row, IF(MAX(_xlpm.dev_row) &lt;= Tol, "PASS", "FAIL")))</f>
        <v>0</v>
      </c>
    </row>
    <row r="298" spans="1:8">
      <c r="A298" s="4" t="s">
        <v>89</v>
      </c>
      <c r="B298" s="9">
        <v>0.0444</v>
      </c>
      <c r="D298" s="9">
        <v>0</v>
      </c>
      <c r="F298" s="8">
        <v>0</v>
      </c>
      <c r="H298" s="12">
        <v>0</v>
      </c>
    </row>
    <row r="299" spans="1:8">
      <c r="A299" s="4" t="s">
        <v>90</v>
      </c>
      <c r="B299" s="9">
        <v>0.35</v>
      </c>
      <c r="D299" s="9">
        <v>0</v>
      </c>
      <c r="F299" s="8">
        <v>0</v>
      </c>
      <c r="H299" s="12">
        <v>0</v>
      </c>
    </row>
    <row r="300" spans="1:8">
      <c r="A300" s="4" t="s">
        <v>91</v>
      </c>
      <c r="B300" s="9">
        <v>0.02</v>
      </c>
      <c r="D300" s="9">
        <v>0</v>
      </c>
      <c r="F300" s="8">
        <v>0</v>
      </c>
      <c r="H300" s="12">
        <v>0</v>
      </c>
    </row>
    <row r="301" spans="1:8">
      <c r="A301" s="4" t="s">
        <v>92</v>
      </c>
      <c r="B301" s="9">
        <v>1</v>
      </c>
      <c r="D301" s="9">
        <v>0</v>
      </c>
      <c r="F301" s="8">
        <v>0</v>
      </c>
      <c r="H301" s="12">
        <v>0</v>
      </c>
    </row>
    <row r="304" spans="1:8">
      <c r="A304" s="3" t="s">
        <v>659</v>
      </c>
      <c r="B304" s="4" t="s">
        <v>619</v>
      </c>
      <c r="C304" s="8">
        <f>FN.MAXDEV(FinDebt_payout, FinDebt_payoutExp)</f>
        <v>0</v>
      </c>
      <c r="D304" s="12">
        <f>IF(FN.MAXDEV(FinDebt_payout, FinDebt_payoutExp) &lt;= Tol, "PASS", "FAIL")</f>
        <v/>
      </c>
    </row>
    <row r="305" spans="1:20">
      <c r="A305" s="3" t="s">
        <v>5</v>
      </c>
      <c r="B305" s="3" t="s">
        <v>620</v>
      </c>
      <c r="C305" s="3" t="s">
        <v>623</v>
      </c>
      <c r="D305" s="3" t="s">
        <v>626</v>
      </c>
      <c r="E305" s="3" t="s">
        <v>629</v>
      </c>
      <c r="F305" s="3" t="s">
        <v>632</v>
      </c>
      <c r="H305" s="3" t="s">
        <v>621</v>
      </c>
      <c r="I305" s="3" t="s">
        <v>624</v>
      </c>
      <c r="J305" s="3" t="s">
        <v>627</v>
      </c>
      <c r="K305" s="3" t="s">
        <v>630</v>
      </c>
      <c r="L305" s="3" t="s">
        <v>633</v>
      </c>
      <c r="N305" s="3" t="s">
        <v>622</v>
      </c>
      <c r="O305" s="3" t="s">
        <v>625</v>
      </c>
      <c r="P305" s="3" t="s">
        <v>628</v>
      </c>
      <c r="Q305" s="3" t="s">
        <v>631</v>
      </c>
      <c r="R305" s="3" t="s">
        <v>634</v>
      </c>
      <c r="T305" s="3" t="s">
        <v>635</v>
      </c>
    </row>
    <row r="306" spans="1:20">
      <c r="A306" s="4" t="s">
        <v>130</v>
      </c>
      <c r="B306" s="9">
        <v>90000</v>
      </c>
      <c r="C306" s="9">
        <v>95000</v>
      </c>
      <c r="D306" s="9">
        <v>100000</v>
      </c>
      <c r="E306" s="9">
        <v>98000</v>
      </c>
      <c r="F306" s="9">
        <v>99000</v>
      </c>
      <c r="H306" s="9" cm="1">
        <f t="array" ref="H306:L307">FinDebt_payout</f>
        <v>0</v>
      </c>
      <c r="I306" s="9">
        <v>0</v>
      </c>
      <c r="J306" s="9">
        <v>0</v>
      </c>
      <c r="K306" s="9">
        <v>0</v>
      </c>
      <c r="L306" s="9">
        <v>0</v>
      </c>
      <c r="N306" s="8" cm="1">
        <f t="array" ref="N306:R307">FN.DEV(FinDebt_payout, FinDebt_payoutExp)</f>
        <v>0</v>
      </c>
      <c r="O306" s="8">
        <v>0</v>
      </c>
      <c r="P306" s="8">
        <v>0</v>
      </c>
      <c r="Q306" s="8">
        <v>0</v>
      </c>
      <c r="R306" s="8">
        <v>0</v>
      </c>
      <c r="T306" s="12" cm="1">
        <f t="array" ref="T306:T307">_xlfn.BYROW(FN.DEV(FinDebt_payout, FinDebt_payoutExp), _xlfn.LAMBDA(_xlpm.dev_row, IF(MAX(_xlpm.dev_row) &lt;= Tol, "PASS", "FAIL")))</f>
        <v>0</v>
      </c>
    </row>
    <row r="307" spans="1:20">
      <c r="A307" s="4" t="s">
        <v>132</v>
      </c>
      <c r="B307" s="9">
        <f>NA()</f>
        <v>0</v>
      </c>
      <c r="C307" s="9">
        <v>3996</v>
      </c>
      <c r="D307" s="9">
        <v>4218</v>
      </c>
      <c r="E307" s="9">
        <v>4440</v>
      </c>
      <c r="F307" s="9">
        <v>4351.2</v>
      </c>
      <c r="H307" s="9">
        <v>0</v>
      </c>
      <c r="I307" s="9">
        <v>0</v>
      </c>
      <c r="J307" s="9">
        <v>0</v>
      </c>
      <c r="K307" s="9">
        <v>0</v>
      </c>
      <c r="L307" s="9">
        <v>0</v>
      </c>
      <c r="N307" s="8">
        <v>0</v>
      </c>
      <c r="O307" s="8">
        <v>0</v>
      </c>
      <c r="P307" s="8">
        <v>0</v>
      </c>
      <c r="Q307" s="8">
        <v>0</v>
      </c>
      <c r="R307" s="8">
        <v>0</v>
      </c>
      <c r="T307" s="12">
        <v>0</v>
      </c>
    </row>
    <row r="310" spans="1:20">
      <c r="A310" s="3" t="s">
        <v>660</v>
      </c>
      <c r="B310" s="4" t="s">
        <v>619</v>
      </c>
      <c r="C310" s="8">
        <f>FN.MAXDEV(IS_payout, IS_payoutExp)</f>
        <v>0</v>
      </c>
      <c r="D310" s="12">
        <f>IF(FN.MAXDEV(IS_payout, IS_payoutExp) &lt;= Tol, "PASS", "FAIL")</f>
        <v/>
      </c>
    </row>
    <row r="311" spans="1:20">
      <c r="A311" s="3" t="s">
        <v>5</v>
      </c>
      <c r="B311" s="3" t="s">
        <v>620</v>
      </c>
      <c r="C311" s="3" t="s">
        <v>623</v>
      </c>
      <c r="D311" s="3" t="s">
        <v>626</v>
      </c>
      <c r="E311" s="3" t="s">
        <v>629</v>
      </c>
      <c r="F311" s="3" t="s">
        <v>632</v>
      </c>
      <c r="H311" s="3" t="s">
        <v>621</v>
      </c>
      <c r="I311" s="3" t="s">
        <v>624</v>
      </c>
      <c r="J311" s="3" t="s">
        <v>627</v>
      </c>
      <c r="K311" s="3" t="s">
        <v>630</v>
      </c>
      <c r="L311" s="3" t="s">
        <v>633</v>
      </c>
      <c r="N311" s="3" t="s">
        <v>622</v>
      </c>
      <c r="O311" s="3" t="s">
        <v>625</v>
      </c>
      <c r="P311" s="3" t="s">
        <v>628</v>
      </c>
      <c r="Q311" s="3" t="s">
        <v>631</v>
      </c>
      <c r="R311" s="3" t="s">
        <v>634</v>
      </c>
      <c r="T311" s="3" t="s">
        <v>635</v>
      </c>
    </row>
    <row r="312" spans="1:20">
      <c r="A312" s="4" t="s">
        <v>71</v>
      </c>
      <c r="B312" s="9">
        <v>75000</v>
      </c>
      <c r="C312" s="9">
        <v>90090.00000000001</v>
      </c>
      <c r="D312" s="9">
        <v>108216.108</v>
      </c>
      <c r="E312" s="9">
        <v>129989.1889296</v>
      </c>
      <c r="F312" s="9">
        <v>156143.0137422356</v>
      </c>
      <c r="H312" s="9" cm="1">
        <f t="array" ref="H312:L327">IS_payout</f>
        <v>0</v>
      </c>
      <c r="I312" s="9">
        <v>0</v>
      </c>
      <c r="J312" s="9">
        <v>0</v>
      </c>
      <c r="K312" s="9">
        <v>0</v>
      </c>
      <c r="L312" s="9">
        <v>0</v>
      </c>
      <c r="N312" s="8" cm="1">
        <f t="array" ref="N312:R327">FN.DEV(IS_payout, IS_payoutExp)</f>
        <v>0</v>
      </c>
      <c r="O312" s="8">
        <v>0</v>
      </c>
      <c r="P312" s="8">
        <v>0</v>
      </c>
      <c r="Q312" s="8">
        <v>0</v>
      </c>
      <c r="R312" s="8">
        <v>0</v>
      </c>
      <c r="T312" s="12" cm="1">
        <f t="array" ref="T312:T327">_xlfn.BYROW(FN.DEV(IS_payout, IS_payoutExp), _xlfn.LAMBDA(_xlpm.dev_row, IF(MAX(_xlpm.dev_row) &lt;= Tol, "PASS", "FAIL")))</f>
        <v>0</v>
      </c>
    </row>
    <row r="313" spans="1:20">
      <c r="A313" s="4" t="s">
        <v>72</v>
      </c>
      <c r="B313" s="9">
        <v>-16000</v>
      </c>
      <c r="C313" s="9">
        <v>-18664.8</v>
      </c>
      <c r="D313" s="9">
        <v>-21773.42244000001</v>
      </c>
      <c r="E313" s="9">
        <v>-25399.785947382</v>
      </c>
      <c r="F313" s="9">
        <v>-29630.12029691848</v>
      </c>
      <c r="H313" s="9">
        <v>0</v>
      </c>
      <c r="I313" s="9">
        <v>0</v>
      </c>
      <c r="J313" s="9">
        <v>0</v>
      </c>
      <c r="K313" s="9">
        <v>0</v>
      </c>
      <c r="L313" s="9">
        <v>0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T313" s="12">
        <v>0</v>
      </c>
    </row>
    <row r="314" spans="1:20">
      <c r="A314" s="4" t="s">
        <v>73</v>
      </c>
      <c r="B314" s="9">
        <v>-13600</v>
      </c>
      <c r="C314" s="9">
        <v>-16336.32</v>
      </c>
      <c r="D314" s="9">
        <v>-19623.18758400001</v>
      </c>
      <c r="E314" s="9">
        <v>-23571.3729259008</v>
      </c>
      <c r="F314" s="9">
        <v>-28313.93315859205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N314" s="8">
        <v>0</v>
      </c>
      <c r="O314" s="8">
        <v>0</v>
      </c>
      <c r="P314" s="8">
        <v>0</v>
      </c>
      <c r="Q314" s="8">
        <v>0</v>
      </c>
      <c r="R314" s="8">
        <v>0</v>
      </c>
      <c r="T314" s="12">
        <v>0</v>
      </c>
    </row>
    <row r="315" spans="1:20">
      <c r="A315" s="4" t="s">
        <v>145</v>
      </c>
      <c r="B315" s="9">
        <v>45400</v>
      </c>
      <c r="C315" s="9">
        <v>55088.88</v>
      </c>
      <c r="D315" s="9">
        <v>66819.49797600001</v>
      </c>
      <c r="E315" s="9">
        <v>81018.03005631722</v>
      </c>
      <c r="F315" s="9">
        <v>98198.96028672505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N315" s="8">
        <v>0</v>
      </c>
      <c r="O315" s="8">
        <v>0</v>
      </c>
      <c r="P315" s="8">
        <v>0</v>
      </c>
      <c r="Q315" s="8">
        <v>0</v>
      </c>
      <c r="R315" s="8">
        <v>0</v>
      </c>
      <c r="T315" s="12">
        <v>0</v>
      </c>
    </row>
    <row r="316" spans="1:20">
      <c r="A316" s="4" t="s">
        <v>74</v>
      </c>
      <c r="B316" s="9">
        <v>-9800</v>
      </c>
      <c r="C316" s="9">
        <v>-13513.5</v>
      </c>
      <c r="D316" s="9">
        <v>-16232.41620000001</v>
      </c>
      <c r="E316" s="9">
        <v>-19498.37833944</v>
      </c>
      <c r="F316" s="9">
        <v>-23421.45206133533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  <c r="T316" s="12">
        <v>0</v>
      </c>
    </row>
    <row r="317" spans="1:20">
      <c r="A317" s="4" t="s">
        <v>75</v>
      </c>
      <c r="B317" s="9">
        <v>-16500</v>
      </c>
      <c r="C317" s="9">
        <v>-16216.2</v>
      </c>
      <c r="D317" s="9">
        <v>-19478.89944</v>
      </c>
      <c r="E317" s="9">
        <v>-23398.054007328</v>
      </c>
      <c r="F317" s="9">
        <v>-28105.7424736024</v>
      </c>
      <c r="H317" s="9">
        <v>0</v>
      </c>
      <c r="I317" s="9">
        <v>0</v>
      </c>
      <c r="J317" s="9">
        <v>0</v>
      </c>
      <c r="K317" s="9">
        <v>0</v>
      </c>
      <c r="L317" s="9">
        <v>0</v>
      </c>
      <c r="N317" s="8">
        <v>0</v>
      </c>
      <c r="O317" s="8">
        <v>0</v>
      </c>
      <c r="P317" s="8">
        <v>0</v>
      </c>
      <c r="Q317" s="8">
        <v>0</v>
      </c>
      <c r="R317" s="8">
        <v>0</v>
      </c>
      <c r="T317" s="12">
        <v>0</v>
      </c>
    </row>
    <row r="318" spans="1:20">
      <c r="A318" s="4" t="s">
        <v>149</v>
      </c>
      <c r="B318" s="9">
        <v>19100</v>
      </c>
      <c r="C318" s="9">
        <v>25359.18</v>
      </c>
      <c r="D318" s="9">
        <v>31108.182336</v>
      </c>
      <c r="E318" s="9">
        <v>38121.59770954921</v>
      </c>
      <c r="F318" s="9">
        <v>46671.76575178731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T318" s="12">
        <v>0</v>
      </c>
    </row>
    <row r="319" spans="1:20">
      <c r="A319" s="4" t="s">
        <v>76</v>
      </c>
      <c r="B319" s="9">
        <v>-4580</v>
      </c>
      <c r="C319" s="9">
        <v>-6358.100000000002</v>
      </c>
      <c r="D319" s="9">
        <v>-7353.639720000004</v>
      </c>
      <c r="E319" s="9">
        <v>-8577.853031664001</v>
      </c>
      <c r="F319" s="9">
        <v>-10073.9119616348</v>
      </c>
      <c r="H319" s="9">
        <v>0</v>
      </c>
      <c r="I319" s="9">
        <v>0</v>
      </c>
      <c r="J319" s="9">
        <v>0</v>
      </c>
      <c r="K319" s="9">
        <v>0</v>
      </c>
      <c r="L319" s="9">
        <v>0</v>
      </c>
      <c r="N319" s="8">
        <v>0</v>
      </c>
      <c r="O319" s="8">
        <v>0</v>
      </c>
      <c r="P319" s="8">
        <v>0</v>
      </c>
      <c r="Q319" s="8">
        <v>0</v>
      </c>
      <c r="R319" s="8">
        <v>0</v>
      </c>
      <c r="T319" s="12">
        <v>0</v>
      </c>
    </row>
    <row r="320" spans="1:20">
      <c r="A320" s="4" t="s">
        <v>152</v>
      </c>
      <c r="B320" s="9">
        <v>14520</v>
      </c>
      <c r="C320" s="9">
        <v>19001.08</v>
      </c>
      <c r="D320" s="9">
        <v>23754.542616</v>
      </c>
      <c r="E320" s="9">
        <v>29543.74467788521</v>
      </c>
      <c r="F320" s="9">
        <v>36597.85379015251</v>
      </c>
      <c r="H320" s="9">
        <v>0</v>
      </c>
      <c r="I320" s="9">
        <v>0</v>
      </c>
      <c r="J320" s="9">
        <v>0</v>
      </c>
      <c r="K320" s="9">
        <v>0</v>
      </c>
      <c r="L320" s="9">
        <v>0</v>
      </c>
      <c r="N320" s="8">
        <v>0</v>
      </c>
      <c r="O320" s="8">
        <v>0</v>
      </c>
      <c r="P320" s="8">
        <v>0</v>
      </c>
      <c r="Q320" s="8">
        <v>0</v>
      </c>
      <c r="R320" s="8">
        <v>0</v>
      </c>
      <c r="T320" s="12">
        <v>0</v>
      </c>
    </row>
    <row r="321" spans="1:20">
      <c r="A321" s="4" t="s">
        <v>154</v>
      </c>
      <c r="B321" s="9">
        <v>1380</v>
      </c>
      <c r="C321" s="9">
        <v>-3996</v>
      </c>
      <c r="D321" s="9">
        <v>-4218</v>
      </c>
      <c r="E321" s="9">
        <v>-4440</v>
      </c>
      <c r="F321" s="9">
        <v>-4351.2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N321" s="8">
        <v>0</v>
      </c>
      <c r="O321" s="8">
        <v>0</v>
      </c>
      <c r="P321" s="8">
        <v>0</v>
      </c>
      <c r="Q321" s="8">
        <v>0</v>
      </c>
      <c r="R321" s="8">
        <v>0</v>
      </c>
      <c r="T321" s="12">
        <v>0</v>
      </c>
    </row>
    <row r="322" spans="1:20">
      <c r="A322" s="4" t="s">
        <v>156</v>
      </c>
      <c r="B322" s="9">
        <v>0</v>
      </c>
      <c r="C322" s="9">
        <v>208.0647496397819</v>
      </c>
      <c r="D322" s="9">
        <v>210.7872878836844</v>
      </c>
      <c r="E322" s="9">
        <v>192.1257999864642</v>
      </c>
      <c r="F322" s="9">
        <v>173.2201255339709</v>
      </c>
      <c r="H322" s="9">
        <v>0</v>
      </c>
      <c r="I322" s="9">
        <v>0</v>
      </c>
      <c r="J322" s="9">
        <v>0</v>
      </c>
      <c r="K322" s="9">
        <v>0</v>
      </c>
      <c r="L322" s="9">
        <v>0</v>
      </c>
      <c r="N322" s="8">
        <v>0</v>
      </c>
      <c r="O322" s="8">
        <v>0</v>
      </c>
      <c r="P322" s="8">
        <v>0</v>
      </c>
      <c r="Q322" s="8">
        <v>0</v>
      </c>
      <c r="R322" s="8">
        <v>0</v>
      </c>
      <c r="T322" s="12">
        <v>0</v>
      </c>
    </row>
    <row r="323" spans="1:20">
      <c r="A323" s="4" t="s">
        <v>158</v>
      </c>
      <c r="B323" s="9">
        <v>0</v>
      </c>
      <c r="C323" s="9">
        <v>-0</v>
      </c>
      <c r="D323" s="9">
        <v>-0</v>
      </c>
      <c r="E323" s="9">
        <v>-0</v>
      </c>
      <c r="F323" s="9">
        <v>-0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N323" s="8">
        <v>0</v>
      </c>
      <c r="O323" s="8">
        <v>0</v>
      </c>
      <c r="P323" s="8">
        <v>0</v>
      </c>
      <c r="Q323" s="8">
        <v>0</v>
      </c>
      <c r="R323" s="8">
        <v>0</v>
      </c>
      <c r="T323" s="12">
        <v>0</v>
      </c>
    </row>
    <row r="324" spans="1:20">
      <c r="A324" s="4" t="s">
        <v>160</v>
      </c>
      <c r="B324" s="9">
        <v>1380</v>
      </c>
      <c r="C324" s="9">
        <v>-3787.935250360218</v>
      </c>
      <c r="D324" s="9">
        <v>-4007.212712116316</v>
      </c>
      <c r="E324" s="9">
        <v>-4247.874200013536</v>
      </c>
      <c r="F324" s="9">
        <v>-4177.979874466029</v>
      </c>
      <c r="H324" s="9">
        <v>0</v>
      </c>
      <c r="I324" s="9">
        <v>0</v>
      </c>
      <c r="J324" s="9">
        <v>0</v>
      </c>
      <c r="K324" s="9">
        <v>0</v>
      </c>
      <c r="L324" s="9">
        <v>0</v>
      </c>
      <c r="N324" s="8">
        <v>0</v>
      </c>
      <c r="O324" s="8">
        <v>0</v>
      </c>
      <c r="P324" s="8">
        <v>0</v>
      </c>
      <c r="Q324" s="8">
        <v>0</v>
      </c>
      <c r="R324" s="8">
        <v>0</v>
      </c>
      <c r="T324" s="12">
        <v>0</v>
      </c>
    </row>
    <row r="325" spans="1:20">
      <c r="A325" s="4" t="s">
        <v>162</v>
      </c>
      <c r="B325" s="9">
        <v>15900</v>
      </c>
      <c r="C325" s="9">
        <v>15213.14474963978</v>
      </c>
      <c r="D325" s="9">
        <v>19747.32990388368</v>
      </c>
      <c r="E325" s="9">
        <v>25295.87047787167</v>
      </c>
      <c r="F325" s="9">
        <v>32419.87391568648</v>
      </c>
      <c r="H325" s="9">
        <v>0</v>
      </c>
      <c r="I325" s="9">
        <v>0</v>
      </c>
      <c r="J325" s="9">
        <v>0</v>
      </c>
      <c r="K325" s="9">
        <v>0</v>
      </c>
      <c r="L325" s="9">
        <v>0</v>
      </c>
      <c r="N325" s="8">
        <v>0</v>
      </c>
      <c r="O325" s="8">
        <v>0</v>
      </c>
      <c r="P325" s="8">
        <v>0</v>
      </c>
      <c r="Q325" s="8">
        <v>0</v>
      </c>
      <c r="R325" s="8">
        <v>0</v>
      </c>
      <c r="T325" s="12">
        <v>0</v>
      </c>
    </row>
    <row r="326" spans="1:20">
      <c r="A326" s="4" t="s">
        <v>164</v>
      </c>
      <c r="B326" s="9">
        <v>-5565</v>
      </c>
      <c r="C326" s="9">
        <v>-5324.600662373922</v>
      </c>
      <c r="D326" s="9">
        <v>-6911.56546635929</v>
      </c>
      <c r="E326" s="9">
        <v>-8853.554667255086</v>
      </c>
      <c r="F326" s="9">
        <v>-11346.95587049027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N326" s="8">
        <v>0</v>
      </c>
      <c r="O326" s="8">
        <v>0</v>
      </c>
      <c r="P326" s="8">
        <v>0</v>
      </c>
      <c r="Q326" s="8">
        <v>0</v>
      </c>
      <c r="R326" s="8">
        <v>0</v>
      </c>
      <c r="T326" s="12">
        <v>0</v>
      </c>
    </row>
    <row r="327" spans="1:20">
      <c r="A327" s="4" t="s">
        <v>166</v>
      </c>
      <c r="B327" s="9">
        <v>10335</v>
      </c>
      <c r="C327" s="9">
        <v>9888.544087265858</v>
      </c>
      <c r="D327" s="9">
        <v>12835.76443752439</v>
      </c>
      <c r="E327" s="9">
        <v>16442.31581061659</v>
      </c>
      <c r="F327" s="9">
        <v>21072.91804519621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N327" s="8">
        <v>0</v>
      </c>
      <c r="O327" s="8">
        <v>0</v>
      </c>
      <c r="P327" s="8">
        <v>0</v>
      </c>
      <c r="Q327" s="8">
        <v>0</v>
      </c>
      <c r="R327" s="8">
        <v>0</v>
      </c>
      <c r="T327" s="12">
        <v>0</v>
      </c>
    </row>
    <row r="330" spans="1:20">
      <c r="A330" s="3" t="s">
        <v>661</v>
      </c>
      <c r="B330" s="4" t="s">
        <v>619</v>
      </c>
      <c r="C330" s="8">
        <f>FN.MAXDEV(BS_payout, BS_payoutExp)</f>
        <v>0</v>
      </c>
      <c r="D330" s="12">
        <f>IF(FN.MAXDEV(BS_payout, BS_payoutExp) &lt;= Tol, "PASS", "FAIL")</f>
        <v/>
      </c>
    </row>
    <row r="331" spans="1:20">
      <c r="A331" s="3" t="s">
        <v>5</v>
      </c>
      <c r="B331" s="3" t="s">
        <v>620</v>
      </c>
      <c r="C331" s="3" t="s">
        <v>623</v>
      </c>
      <c r="D331" s="3" t="s">
        <v>626</v>
      </c>
      <c r="E331" s="3" t="s">
        <v>629</v>
      </c>
      <c r="F331" s="3" t="s">
        <v>632</v>
      </c>
      <c r="H331" s="3" t="s">
        <v>621</v>
      </c>
      <c r="I331" s="3" t="s">
        <v>624</v>
      </c>
      <c r="J331" s="3" t="s">
        <v>627</v>
      </c>
      <c r="K331" s="3" t="s">
        <v>630</v>
      </c>
      <c r="L331" s="3" t="s">
        <v>633</v>
      </c>
      <c r="N331" s="3" t="s">
        <v>622</v>
      </c>
      <c r="O331" s="3" t="s">
        <v>625</v>
      </c>
      <c r="P331" s="3" t="s">
        <v>628</v>
      </c>
      <c r="Q331" s="3" t="s">
        <v>631</v>
      </c>
      <c r="R331" s="3" t="s">
        <v>634</v>
      </c>
      <c r="T331" s="3" t="s">
        <v>635</v>
      </c>
    </row>
    <row r="332" spans="1:20">
      <c r="A332" s="4" t="s">
        <v>226</v>
      </c>
      <c r="B332" s="9">
        <v>12328.76712328767</v>
      </c>
      <c r="C332" s="9">
        <v>14809.31506849315</v>
      </c>
      <c r="D332" s="9">
        <v>17788.94926027398</v>
      </c>
      <c r="E332" s="9">
        <v>21368.0858514411</v>
      </c>
      <c r="F332" s="9">
        <v>25667.34472475106</v>
      </c>
      <c r="H332" s="9" cm="1">
        <f t="array" ref="H332:L352">BS_payout</f>
        <v>0</v>
      </c>
      <c r="I332" s="9">
        <v>0</v>
      </c>
      <c r="J332" s="9">
        <v>0</v>
      </c>
      <c r="K332" s="9">
        <v>0</v>
      </c>
      <c r="L332" s="9">
        <v>0</v>
      </c>
      <c r="N332" s="8" cm="1">
        <f t="array" ref="N332:R352">FN.DEV(BS_payout, BS_payoutExp)</f>
        <v>0</v>
      </c>
      <c r="O332" s="8">
        <v>0</v>
      </c>
      <c r="P332" s="8">
        <v>0</v>
      </c>
      <c r="Q332" s="8">
        <v>0</v>
      </c>
      <c r="R332" s="8">
        <v>0</v>
      </c>
      <c r="T332" s="12" cm="1">
        <f t="array" ref="T332:T352">_xlfn.BYROW(FN.DEV(BS_payout, BS_payoutExp), _xlfn.LAMBDA(_xlpm.dev_row, IF(MAX(_xlpm.dev_row) &lt;= Tol, "PASS", "FAIL")))</f>
        <v>0</v>
      </c>
    </row>
    <row r="333" spans="1:20">
      <c r="A333" s="4" t="s">
        <v>228</v>
      </c>
      <c r="B333" s="9">
        <v>1315.068493150685</v>
      </c>
      <c r="C333" s="9">
        <v>1534.093150684932</v>
      </c>
      <c r="D333" s="9">
        <v>1789.596364931507</v>
      </c>
      <c r="E333" s="9">
        <v>2087.653639510849</v>
      </c>
      <c r="F333" s="9">
        <v>2435.352353171382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T333" s="12">
        <v>0</v>
      </c>
    </row>
    <row r="334" spans="1:20">
      <c r="A334" s="4" t="s">
        <v>229</v>
      </c>
      <c r="B334" s="9">
        <v>3649.315068493151</v>
      </c>
      <c r="C334" s="9">
        <v>4315.206575342467</v>
      </c>
      <c r="D334" s="9">
        <v>5103.691646794522</v>
      </c>
      <c r="E334" s="9">
        <v>6037.540135062262</v>
      </c>
      <c r="F334" s="9">
        <v>7143.787412323216</v>
      </c>
      <c r="H334" s="9">
        <v>0</v>
      </c>
      <c r="I334" s="9">
        <v>0</v>
      </c>
      <c r="J334" s="9">
        <v>0</v>
      </c>
      <c r="K334" s="9">
        <v>0</v>
      </c>
      <c r="L334" s="9">
        <v>0</v>
      </c>
      <c r="N334" s="8">
        <v>0</v>
      </c>
      <c r="O334" s="8">
        <v>0</v>
      </c>
      <c r="P334" s="8">
        <v>0</v>
      </c>
      <c r="Q334" s="8">
        <v>0</v>
      </c>
      <c r="R334" s="8">
        <v>0</v>
      </c>
      <c r="T334" s="12">
        <v>0</v>
      </c>
    </row>
    <row r="335" spans="1:20">
      <c r="A335" s="4" t="s">
        <v>231</v>
      </c>
      <c r="B335" s="9">
        <v>-1236.986301369863</v>
      </c>
      <c r="C335" s="9">
        <v>-1337.774794520548</v>
      </c>
      <c r="D335" s="9">
        <v>-1606.935083178083</v>
      </c>
      <c r="E335" s="9">
        <v>-1930.250421913513</v>
      </c>
      <c r="F335" s="9">
        <v>-2318.616806802512</v>
      </c>
      <c r="H335" s="9">
        <v>0</v>
      </c>
      <c r="I335" s="9">
        <v>0</v>
      </c>
      <c r="J335" s="9">
        <v>0</v>
      </c>
      <c r="K335" s="9">
        <v>0</v>
      </c>
      <c r="L335" s="9">
        <v>0</v>
      </c>
      <c r="N335" s="8">
        <v>0</v>
      </c>
      <c r="O335" s="8">
        <v>0</v>
      </c>
      <c r="P335" s="8">
        <v>0</v>
      </c>
      <c r="Q335" s="8">
        <v>0</v>
      </c>
      <c r="R335" s="8">
        <v>0</v>
      </c>
      <c r="T335" s="12">
        <v>0</v>
      </c>
    </row>
    <row r="336" spans="1:20">
      <c r="A336" s="4" t="s">
        <v>233</v>
      </c>
      <c r="B336" s="9">
        <v>-3180.821917808219</v>
      </c>
      <c r="C336" s="9">
        <v>-3967.187671232877</v>
      </c>
      <c r="D336" s="9">
        <v>-4685.651339178084</v>
      </c>
      <c r="E336" s="9">
        <v>-5535.390117553397</v>
      </c>
      <c r="F336" s="9">
        <v>-6540.604811291566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N336" s="8">
        <v>0</v>
      </c>
      <c r="O336" s="8">
        <v>0</v>
      </c>
      <c r="P336" s="8">
        <v>0</v>
      </c>
      <c r="Q336" s="8">
        <v>0</v>
      </c>
      <c r="R336" s="8">
        <v>0</v>
      </c>
      <c r="T336" s="12">
        <v>0</v>
      </c>
    </row>
    <row r="337" spans="1:20">
      <c r="A337" s="4" t="s">
        <v>235</v>
      </c>
      <c r="B337" s="9">
        <v>6164.383561643835</v>
      </c>
      <c r="C337" s="9">
        <v>7404.657534246577</v>
      </c>
      <c r="D337" s="9">
        <v>8894.474630136989</v>
      </c>
      <c r="E337" s="9">
        <v>10684.04292572055</v>
      </c>
      <c r="F337" s="9">
        <v>12833.67236237553</v>
      </c>
      <c r="H337" s="9">
        <v>0</v>
      </c>
      <c r="I337" s="9">
        <v>0</v>
      </c>
      <c r="J337" s="9">
        <v>0</v>
      </c>
      <c r="K337" s="9">
        <v>0</v>
      </c>
      <c r="L337" s="9">
        <v>0</v>
      </c>
      <c r="N337" s="8">
        <v>0</v>
      </c>
      <c r="O337" s="8">
        <v>0</v>
      </c>
      <c r="P337" s="8">
        <v>0</v>
      </c>
      <c r="Q337" s="8">
        <v>0</v>
      </c>
      <c r="R337" s="8">
        <v>0</v>
      </c>
      <c r="T337" s="12">
        <v>0</v>
      </c>
    </row>
    <row r="338" spans="1:20">
      <c r="A338" s="4" t="s">
        <v>237</v>
      </c>
      <c r="B338" s="9">
        <v>19039.72602739726</v>
      </c>
      <c r="C338" s="9">
        <v>22758.3098630137</v>
      </c>
      <c r="D338" s="9">
        <v>27284.12547978083</v>
      </c>
      <c r="E338" s="9">
        <v>32711.68201226785</v>
      </c>
      <c r="F338" s="9">
        <v>39220.9352345271</v>
      </c>
      <c r="H338" s="9">
        <v>0</v>
      </c>
      <c r="I338" s="9">
        <v>0</v>
      </c>
      <c r="J338" s="9">
        <v>0</v>
      </c>
      <c r="K338" s="9">
        <v>0</v>
      </c>
      <c r="L338" s="9">
        <v>0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T338" s="12">
        <v>0</v>
      </c>
    </row>
    <row r="339" spans="1:20">
      <c r="A339" s="4" t="s">
        <v>239</v>
      </c>
      <c r="B339" s="9">
        <v>0</v>
      </c>
      <c r="C339" s="9">
        <v>13581.00000000001</v>
      </c>
      <c r="D339" s="9">
        <v>16313.49720000002</v>
      </c>
      <c r="E339" s="9">
        <v>19595.77283663998</v>
      </c>
      <c r="F339" s="9">
        <v>23538.44233137201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N339" s="8">
        <v>0</v>
      </c>
      <c r="O339" s="8">
        <v>0</v>
      </c>
      <c r="P339" s="8">
        <v>0</v>
      </c>
      <c r="Q339" s="8">
        <v>0</v>
      </c>
      <c r="R339" s="8">
        <v>0</v>
      </c>
      <c r="T339" s="12">
        <v>0</v>
      </c>
    </row>
    <row r="340" spans="1:20">
      <c r="A340" s="4" t="s">
        <v>76</v>
      </c>
      <c r="B340" s="9">
        <v>0</v>
      </c>
      <c r="C340" s="9">
        <v>-6358.100000000002</v>
      </c>
      <c r="D340" s="9">
        <v>-7353.639720000004</v>
      </c>
      <c r="E340" s="9">
        <v>-8577.853031664001</v>
      </c>
      <c r="F340" s="9">
        <v>-10073.9119616348</v>
      </c>
      <c r="H340" s="9">
        <v>0</v>
      </c>
      <c r="I340" s="9">
        <v>0</v>
      </c>
      <c r="J340" s="9">
        <v>0</v>
      </c>
      <c r="K340" s="9">
        <v>0</v>
      </c>
      <c r="L340" s="9">
        <v>0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T340" s="12">
        <v>0</v>
      </c>
    </row>
    <row r="341" spans="1:20">
      <c r="A341" s="4" t="s">
        <v>241</v>
      </c>
      <c r="B341" s="9">
        <v>50000</v>
      </c>
      <c r="C341" s="9">
        <v>57222.90000000001</v>
      </c>
      <c r="D341" s="9">
        <v>66182.75748000003</v>
      </c>
      <c r="E341" s="9">
        <v>77200.67728497602</v>
      </c>
      <c r="F341" s="9">
        <v>90665.20765471322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T341" s="12">
        <v>0</v>
      </c>
    </row>
    <row r="342" spans="1:20">
      <c r="A342" s="4" t="s">
        <v>243</v>
      </c>
      <c r="B342" s="9">
        <v>69039.72602739726</v>
      </c>
      <c r="C342" s="9">
        <v>79981.2098630137</v>
      </c>
      <c r="D342" s="9">
        <v>93466.88295978087</v>
      </c>
      <c r="E342" s="9">
        <v>109912.3592972439</v>
      </c>
      <c r="F342" s="9">
        <v>129886.1428892403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N342" s="8">
        <v>0</v>
      </c>
      <c r="O342" s="8">
        <v>0</v>
      </c>
      <c r="P342" s="8">
        <v>0</v>
      </c>
      <c r="Q342" s="8">
        <v>0</v>
      </c>
      <c r="R342" s="8">
        <v>0</v>
      </c>
      <c r="T342" s="12">
        <v>0</v>
      </c>
    </row>
    <row r="343" spans="1:20">
      <c r="A343" s="4" t="s">
        <v>245</v>
      </c>
      <c r="B343" s="9">
        <v>116624.6575342466</v>
      </c>
      <c r="C343" s="9">
        <v>116624.6575342466</v>
      </c>
      <c r="D343" s="9">
        <v>116624.6575342466</v>
      </c>
      <c r="E343" s="9">
        <v>116624.6575342466</v>
      </c>
      <c r="F343" s="9">
        <v>116624.6575342466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N343" s="8">
        <v>0</v>
      </c>
      <c r="O343" s="8">
        <v>0</v>
      </c>
      <c r="P343" s="8">
        <v>0</v>
      </c>
      <c r="Q343" s="8">
        <v>0</v>
      </c>
      <c r="R343" s="8">
        <v>0</v>
      </c>
      <c r="T343" s="12">
        <v>0</v>
      </c>
    </row>
    <row r="344" spans="1:20">
      <c r="A344" s="4" t="s">
        <v>247</v>
      </c>
      <c r="B344" s="9">
        <v>10335.61643835616</v>
      </c>
      <c r="C344" s="9">
        <v>10470.85852562202</v>
      </c>
      <c r="D344" s="9">
        <v>10607.87026274642</v>
      </c>
      <c r="E344" s="9">
        <v>8604.709735900005</v>
      </c>
      <c r="F344" s="9">
        <v>8717.302817497086</v>
      </c>
      <c r="H344" s="9">
        <v>0</v>
      </c>
      <c r="I344" s="9">
        <v>0</v>
      </c>
      <c r="J344" s="9">
        <v>0</v>
      </c>
      <c r="K344" s="9">
        <v>0</v>
      </c>
      <c r="L344" s="9">
        <v>0</v>
      </c>
      <c r="N344" s="8">
        <v>0</v>
      </c>
      <c r="O344" s="8">
        <v>0</v>
      </c>
      <c r="P344" s="8">
        <v>0</v>
      </c>
      <c r="Q344" s="8">
        <v>0</v>
      </c>
      <c r="R344" s="8">
        <v>0</v>
      </c>
      <c r="T344" s="12">
        <v>0</v>
      </c>
    </row>
    <row r="345" spans="1:20">
      <c r="A345" s="4" t="s">
        <v>249</v>
      </c>
      <c r="B345" s="9">
        <v>196000</v>
      </c>
      <c r="C345" s="9">
        <v>207076.7259228823</v>
      </c>
      <c r="D345" s="9">
        <v>220699.4107567738</v>
      </c>
      <c r="E345" s="9">
        <v>235141.7265673905</v>
      </c>
      <c r="F345" s="9">
        <v>255228.103240984</v>
      </c>
      <c r="H345" s="9">
        <v>0</v>
      </c>
      <c r="I345" s="9">
        <v>0</v>
      </c>
      <c r="J345" s="9">
        <v>0</v>
      </c>
      <c r="K345" s="9">
        <v>0</v>
      </c>
      <c r="L345" s="9">
        <v>0</v>
      </c>
      <c r="N345" s="8">
        <v>0</v>
      </c>
      <c r="O345" s="8">
        <v>0</v>
      </c>
      <c r="P345" s="8">
        <v>0</v>
      </c>
      <c r="Q345" s="8">
        <v>0</v>
      </c>
      <c r="R345" s="8">
        <v>0</v>
      </c>
      <c r="T345" s="12">
        <v>0</v>
      </c>
    </row>
    <row r="346" spans="1:20">
      <c r="A346" s="4" t="s">
        <v>251</v>
      </c>
      <c r="B346" s="9">
        <v>90000</v>
      </c>
      <c r="C346" s="9">
        <v>95000</v>
      </c>
      <c r="D346" s="9">
        <v>100000</v>
      </c>
      <c r="E346" s="9">
        <v>98000</v>
      </c>
      <c r="F346" s="9">
        <v>99000</v>
      </c>
      <c r="H346" s="9">
        <v>0</v>
      </c>
      <c r="I346" s="9">
        <v>0</v>
      </c>
      <c r="J346" s="9">
        <v>0</v>
      </c>
      <c r="K346" s="9">
        <v>0</v>
      </c>
      <c r="L346" s="9">
        <v>0</v>
      </c>
      <c r="N346" s="8">
        <v>0</v>
      </c>
      <c r="O346" s="8">
        <v>0</v>
      </c>
      <c r="P346" s="8">
        <v>0</v>
      </c>
      <c r="Q346" s="8">
        <v>0</v>
      </c>
      <c r="R346" s="8">
        <v>0</v>
      </c>
      <c r="T346" s="12">
        <v>0</v>
      </c>
    </row>
    <row r="347" spans="1:20">
      <c r="A347" s="4" t="s">
        <v>253</v>
      </c>
      <c r="B347" s="9">
        <v>0</v>
      </c>
      <c r="C347" s="9">
        <v>0</v>
      </c>
      <c r="D347" s="9">
        <v>0</v>
      </c>
      <c r="E347" s="9">
        <v>0</v>
      </c>
      <c r="F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N347" s="8">
        <v>0</v>
      </c>
      <c r="O347" s="8">
        <v>0</v>
      </c>
      <c r="P347" s="8">
        <v>0</v>
      </c>
      <c r="Q347" s="8">
        <v>0</v>
      </c>
      <c r="R347" s="8">
        <v>0</v>
      </c>
      <c r="T347" s="12">
        <v>0</v>
      </c>
    </row>
    <row r="348" spans="1:20">
      <c r="A348" s="4" t="s">
        <v>255</v>
      </c>
      <c r="B348" s="9">
        <v>10335</v>
      </c>
      <c r="C348" s="9">
        <v>9888.544087265858</v>
      </c>
      <c r="D348" s="9">
        <v>12835.76443752439</v>
      </c>
      <c r="E348" s="9">
        <v>16442.31581061659</v>
      </c>
      <c r="F348" s="9">
        <v>21072.91804519621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T348" s="12">
        <v>0</v>
      </c>
    </row>
    <row r="349" spans="1:20">
      <c r="A349" s="4" t="s">
        <v>256</v>
      </c>
      <c r="B349" s="9">
        <v>-0</v>
      </c>
      <c r="C349" s="9">
        <v>-3811.818164383545</v>
      </c>
      <c r="D349" s="9">
        <v>-4213.079603632854</v>
      </c>
      <c r="E349" s="9">
        <v>0</v>
      </c>
      <c r="F349" s="9">
        <v>-1986.541371602669</v>
      </c>
      <c r="H349" s="9">
        <v>0</v>
      </c>
      <c r="I349" s="9">
        <v>0</v>
      </c>
      <c r="J349" s="9">
        <v>0</v>
      </c>
      <c r="K349" s="9">
        <v>0</v>
      </c>
      <c r="L349" s="9">
        <v>0</v>
      </c>
      <c r="N349" s="8">
        <v>0</v>
      </c>
      <c r="O349" s="8">
        <v>0</v>
      </c>
      <c r="P349" s="8">
        <v>0</v>
      </c>
      <c r="Q349" s="8">
        <v>0</v>
      </c>
      <c r="R349" s="8">
        <v>0</v>
      </c>
      <c r="T349" s="12">
        <v>0</v>
      </c>
    </row>
    <row r="350" spans="1:20">
      <c r="A350" s="4" t="s">
        <v>258</v>
      </c>
      <c r="B350" s="9">
        <v>106000</v>
      </c>
      <c r="C350" s="9">
        <v>0</v>
      </c>
      <c r="D350" s="9">
        <v>0</v>
      </c>
      <c r="E350" s="9">
        <v>0</v>
      </c>
      <c r="F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N350" s="8">
        <v>0</v>
      </c>
      <c r="O350" s="8">
        <v>0</v>
      </c>
      <c r="P350" s="8">
        <v>0</v>
      </c>
      <c r="Q350" s="8">
        <v>0</v>
      </c>
      <c r="R350" s="8">
        <v>0</v>
      </c>
      <c r="T350" s="12">
        <v>0</v>
      </c>
    </row>
    <row r="351" spans="1:20">
      <c r="A351" s="4" t="s">
        <v>260</v>
      </c>
      <c r="B351" s="9">
        <v>106000</v>
      </c>
      <c r="C351" s="9">
        <v>112076.7259228823</v>
      </c>
      <c r="D351" s="9">
        <v>120699.4107567739</v>
      </c>
      <c r="E351" s="9">
        <v>137141.7265673904</v>
      </c>
      <c r="F351" s="9">
        <v>156228.103240984</v>
      </c>
      <c r="H351" s="9">
        <v>0</v>
      </c>
      <c r="I351" s="9">
        <v>0</v>
      </c>
      <c r="J351" s="9">
        <v>0</v>
      </c>
      <c r="K351" s="9">
        <v>0</v>
      </c>
      <c r="L351" s="9">
        <v>0</v>
      </c>
      <c r="N351" s="8">
        <v>0</v>
      </c>
      <c r="O351" s="8">
        <v>0</v>
      </c>
      <c r="P351" s="8">
        <v>0</v>
      </c>
      <c r="Q351" s="8">
        <v>0</v>
      </c>
      <c r="R351" s="8">
        <v>0</v>
      </c>
      <c r="T351" s="12">
        <v>0</v>
      </c>
    </row>
    <row r="352" spans="1:20">
      <c r="A352" s="4" t="s">
        <v>262</v>
      </c>
      <c r="B352" s="9">
        <v>196000</v>
      </c>
      <c r="C352" s="9">
        <v>207076.7259228823</v>
      </c>
      <c r="D352" s="9">
        <v>220699.4107567738</v>
      </c>
      <c r="E352" s="9">
        <v>235141.7265673904</v>
      </c>
      <c r="F352" s="9">
        <v>255228.103240984</v>
      </c>
      <c r="H352" s="9">
        <v>0</v>
      </c>
      <c r="I352" s="9">
        <v>0</v>
      </c>
      <c r="J352" s="9">
        <v>0</v>
      </c>
      <c r="K352" s="9">
        <v>0</v>
      </c>
      <c r="L352" s="9">
        <v>0</v>
      </c>
      <c r="N352" s="8">
        <v>0</v>
      </c>
      <c r="O352" s="8">
        <v>0</v>
      </c>
      <c r="P352" s="8">
        <v>0</v>
      </c>
      <c r="Q352" s="8">
        <v>0</v>
      </c>
      <c r="R352" s="8">
        <v>0</v>
      </c>
      <c r="T352" s="12">
        <v>0</v>
      </c>
    </row>
    <row r="355" spans="1:20">
      <c r="A355" s="3" t="s">
        <v>662</v>
      </c>
      <c r="B355" s="4" t="s">
        <v>619</v>
      </c>
      <c r="C355" s="8">
        <f>FN.MAXDEV(BSdelta_payout, BSdelta_payoutExp)</f>
        <v>0</v>
      </c>
      <c r="D355" s="12">
        <f>IF(FN.MAXDEV(BSdelta_payout, BSdelta_payoutExp) &lt;= Tol, "PASS", "FAIL")</f>
        <v/>
      </c>
    </row>
    <row r="356" spans="1:20">
      <c r="A356" s="3" t="s">
        <v>5</v>
      </c>
      <c r="B356" s="3" t="s">
        <v>620</v>
      </c>
      <c r="C356" s="3" t="s">
        <v>623</v>
      </c>
      <c r="D356" s="3" t="s">
        <v>626</v>
      </c>
      <c r="E356" s="3" t="s">
        <v>629</v>
      </c>
      <c r="F356" s="3" t="s">
        <v>632</v>
      </c>
      <c r="H356" s="3" t="s">
        <v>621</v>
      </c>
      <c r="I356" s="3" t="s">
        <v>624</v>
      </c>
      <c r="J356" s="3" t="s">
        <v>627</v>
      </c>
      <c r="K356" s="3" t="s">
        <v>630</v>
      </c>
      <c r="L356" s="3" t="s">
        <v>633</v>
      </c>
      <c r="N356" s="3" t="s">
        <v>622</v>
      </c>
      <c r="O356" s="3" t="s">
        <v>625</v>
      </c>
      <c r="P356" s="3" t="s">
        <v>628</v>
      </c>
      <c r="Q356" s="3" t="s">
        <v>631</v>
      </c>
      <c r="R356" s="3" t="s">
        <v>634</v>
      </c>
      <c r="T356" s="3" t="s">
        <v>635</v>
      </c>
    </row>
    <row r="357" spans="1:20">
      <c r="A357" s="4" t="s">
        <v>237</v>
      </c>
      <c r="B357" s="9">
        <f>NA()</f>
        <v>0</v>
      </c>
      <c r="C357" s="9">
        <v>3718.583835616446</v>
      </c>
      <c r="D357" s="9">
        <v>4525.81561676713</v>
      </c>
      <c r="E357" s="9">
        <v>5427.556532487015</v>
      </c>
      <c r="F357" s="9">
        <v>6509.253222259256</v>
      </c>
      <c r="H357" s="9" cm="1">
        <f t="array" ref="H357:L365">BSdelta_payout</f>
        <v>0</v>
      </c>
      <c r="I357" s="9">
        <v>0</v>
      </c>
      <c r="J357" s="9">
        <v>0</v>
      </c>
      <c r="K357" s="9">
        <v>0</v>
      </c>
      <c r="L357" s="9">
        <v>0</v>
      </c>
      <c r="N357" s="8" cm="1">
        <f t="array" ref="N357:R365">FN.DEV(BSdelta_payout, BSdelta_payoutExp)</f>
        <v>0</v>
      </c>
      <c r="O357" s="8">
        <v>0</v>
      </c>
      <c r="P357" s="8">
        <v>0</v>
      </c>
      <c r="Q357" s="8">
        <v>0</v>
      </c>
      <c r="R357" s="8">
        <v>0</v>
      </c>
      <c r="T357" s="12" cm="1">
        <f t="array" ref="T357:T365">_xlfn.BYROW(FN.DEV(BSdelta_payout, BSdelta_payoutExp), _xlfn.LAMBDA(_xlpm.dev_row, IF(MAX(_xlpm.dev_row) &lt;= Tol, "PASS", "FAIL")))</f>
        <v>0</v>
      </c>
    </row>
    <row r="358" spans="1:20">
      <c r="A358" s="4" t="s">
        <v>251</v>
      </c>
      <c r="B358" s="9">
        <f>NA()</f>
        <v>0</v>
      </c>
      <c r="C358" s="9">
        <v>5000</v>
      </c>
      <c r="D358" s="9">
        <v>5000</v>
      </c>
      <c r="E358" s="9">
        <v>-2000</v>
      </c>
      <c r="F358" s="9">
        <v>1000</v>
      </c>
      <c r="H358" s="9">
        <v>0</v>
      </c>
      <c r="I358" s="9">
        <v>0</v>
      </c>
      <c r="J358" s="9">
        <v>0</v>
      </c>
      <c r="K358" s="9">
        <v>0</v>
      </c>
      <c r="L358" s="9">
        <v>0</v>
      </c>
      <c r="N358" s="8">
        <v>0</v>
      </c>
      <c r="O358" s="8">
        <v>0</v>
      </c>
      <c r="P358" s="8">
        <v>0</v>
      </c>
      <c r="Q358" s="8">
        <v>0</v>
      </c>
      <c r="R358" s="8">
        <v>0</v>
      </c>
      <c r="T358" s="12">
        <v>0</v>
      </c>
    </row>
    <row r="359" spans="1:20">
      <c r="A359" s="4" t="s">
        <v>241</v>
      </c>
      <c r="B359" s="9">
        <f>NA()</f>
        <v>0</v>
      </c>
      <c r="C359" s="9">
        <v>7222.900000000009</v>
      </c>
      <c r="D359" s="9">
        <v>8959.857480000021</v>
      </c>
      <c r="E359" s="9">
        <v>11017.91980497599</v>
      </c>
      <c r="F359" s="9">
        <v>13464.5303697372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  <c r="N359" s="8">
        <v>0</v>
      </c>
      <c r="O359" s="8">
        <v>0</v>
      </c>
      <c r="P359" s="8">
        <v>0</v>
      </c>
      <c r="Q359" s="8">
        <v>0</v>
      </c>
      <c r="R359" s="8">
        <v>0</v>
      </c>
      <c r="T359" s="12">
        <v>0</v>
      </c>
    </row>
    <row r="360" spans="1:20">
      <c r="A360" s="4" t="s">
        <v>235</v>
      </c>
      <c r="B360" s="9">
        <f>NA()</f>
        <v>0</v>
      </c>
      <c r="C360" s="9">
        <v>1240.273972602741</v>
      </c>
      <c r="D360" s="9">
        <v>1489.817095890412</v>
      </c>
      <c r="E360" s="9">
        <v>1789.56829558356</v>
      </c>
      <c r="F360" s="9">
        <v>2149.629436654979</v>
      </c>
      <c r="H360" s="9">
        <v>0</v>
      </c>
      <c r="I360" s="9">
        <v>0</v>
      </c>
      <c r="J360" s="9">
        <v>0</v>
      </c>
      <c r="K360" s="9">
        <v>0</v>
      </c>
      <c r="L360" s="9">
        <v>0</v>
      </c>
      <c r="N360" s="8">
        <v>0</v>
      </c>
      <c r="O360" s="8">
        <v>0</v>
      </c>
      <c r="P360" s="8">
        <v>0</v>
      </c>
      <c r="Q360" s="8">
        <v>0</v>
      </c>
      <c r="R360" s="8">
        <v>0</v>
      </c>
      <c r="T360" s="12">
        <v>0</v>
      </c>
    </row>
    <row r="361" spans="1:20">
      <c r="A361" s="4" t="s">
        <v>226</v>
      </c>
      <c r="B361" s="9">
        <f>NA()</f>
        <v>0</v>
      </c>
      <c r="C361" s="9">
        <v>2480.547945205482</v>
      </c>
      <c r="D361" s="9">
        <v>2979.634191780824</v>
      </c>
      <c r="E361" s="9">
        <v>3579.13659116712</v>
      </c>
      <c r="F361" s="9">
        <v>4299.258873309958</v>
      </c>
      <c r="H361" s="9">
        <v>0</v>
      </c>
      <c r="I361" s="9">
        <v>0</v>
      </c>
      <c r="J361" s="9">
        <v>0</v>
      </c>
      <c r="K361" s="9">
        <v>0</v>
      </c>
      <c r="L361" s="9">
        <v>0</v>
      </c>
      <c r="N361" s="8">
        <v>0</v>
      </c>
      <c r="O361" s="8">
        <v>0</v>
      </c>
      <c r="P361" s="8">
        <v>0</v>
      </c>
      <c r="Q361" s="8">
        <v>0</v>
      </c>
      <c r="R361" s="8">
        <v>0</v>
      </c>
      <c r="T361" s="12">
        <v>0</v>
      </c>
    </row>
    <row r="362" spans="1:20">
      <c r="A362" s="4" t="s">
        <v>228</v>
      </c>
      <c r="B362" s="9">
        <f>NA()</f>
        <v>0</v>
      </c>
      <c r="C362" s="9">
        <v>219.0246575342469</v>
      </c>
      <c r="D362" s="9">
        <v>255.5032142465757</v>
      </c>
      <c r="E362" s="9">
        <v>298.0572745793418</v>
      </c>
      <c r="F362" s="9">
        <v>347.6987136605326</v>
      </c>
      <c r="H362" s="9">
        <v>0</v>
      </c>
      <c r="I362" s="9">
        <v>0</v>
      </c>
      <c r="J362" s="9">
        <v>0</v>
      </c>
      <c r="K362" s="9">
        <v>0</v>
      </c>
      <c r="L362" s="9">
        <v>0</v>
      </c>
      <c r="N362" s="8">
        <v>0</v>
      </c>
      <c r="O362" s="8">
        <v>0</v>
      </c>
      <c r="P362" s="8">
        <v>0</v>
      </c>
      <c r="Q362" s="8">
        <v>0</v>
      </c>
      <c r="R362" s="8">
        <v>0</v>
      </c>
      <c r="T362" s="12">
        <v>0</v>
      </c>
    </row>
    <row r="363" spans="1:20">
      <c r="A363" s="4" t="s">
        <v>229</v>
      </c>
      <c r="B363" s="9">
        <f>NA()</f>
        <v>0</v>
      </c>
      <c r="C363" s="9">
        <v>665.8915068493161</v>
      </c>
      <c r="D363" s="9">
        <v>788.4850714520553</v>
      </c>
      <c r="E363" s="9">
        <v>933.8484882677403</v>
      </c>
      <c r="F363" s="9">
        <v>1106.247277260954</v>
      </c>
      <c r="H363" s="9">
        <v>0</v>
      </c>
      <c r="I363" s="9">
        <v>0</v>
      </c>
      <c r="J363" s="9">
        <v>0</v>
      </c>
      <c r="K363" s="9">
        <v>0</v>
      </c>
      <c r="L363" s="9">
        <v>0</v>
      </c>
      <c r="N363" s="8">
        <v>0</v>
      </c>
      <c r="O363" s="8">
        <v>0</v>
      </c>
      <c r="P363" s="8">
        <v>0</v>
      </c>
      <c r="Q363" s="8">
        <v>0</v>
      </c>
      <c r="R363" s="8">
        <v>0</v>
      </c>
      <c r="T363" s="12">
        <v>0</v>
      </c>
    </row>
    <row r="364" spans="1:20">
      <c r="A364" s="4" t="s">
        <v>233</v>
      </c>
      <c r="B364" s="9">
        <f>NA()</f>
        <v>0</v>
      </c>
      <c r="C364" s="9">
        <v>-786.3657534246581</v>
      </c>
      <c r="D364" s="9">
        <v>-718.4636679452065</v>
      </c>
      <c r="E364" s="9">
        <v>-849.7387783753138</v>
      </c>
      <c r="F364" s="9">
        <v>-1005.214693738169</v>
      </c>
      <c r="H364" s="9">
        <v>0</v>
      </c>
      <c r="I364" s="9">
        <v>0</v>
      </c>
      <c r="J364" s="9">
        <v>0</v>
      </c>
      <c r="K364" s="9">
        <v>0</v>
      </c>
      <c r="L364" s="9">
        <v>0</v>
      </c>
      <c r="N364" s="8">
        <v>0</v>
      </c>
      <c r="O364" s="8">
        <v>0</v>
      </c>
      <c r="P364" s="8">
        <v>0</v>
      </c>
      <c r="Q364" s="8">
        <v>0</v>
      </c>
      <c r="R364" s="8">
        <v>0</v>
      </c>
      <c r="T364" s="12">
        <v>0</v>
      </c>
    </row>
    <row r="365" spans="1:20">
      <c r="A365" s="4" t="s">
        <v>231</v>
      </c>
      <c r="B365" s="9">
        <f>NA()</f>
        <v>0</v>
      </c>
      <c r="C365" s="9">
        <v>-100.7884931506851</v>
      </c>
      <c r="D365" s="9">
        <v>-269.1602886575345</v>
      </c>
      <c r="E365" s="9">
        <v>-323.31533873543</v>
      </c>
      <c r="F365" s="9">
        <v>-388.3663848889992</v>
      </c>
      <c r="H365" s="9">
        <v>0</v>
      </c>
      <c r="I365" s="9">
        <v>0</v>
      </c>
      <c r="J365" s="9">
        <v>0</v>
      </c>
      <c r="K365" s="9">
        <v>0</v>
      </c>
      <c r="L365" s="9">
        <v>0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  <c r="T365" s="12">
        <v>0</v>
      </c>
    </row>
    <row r="368" spans="1:20">
      <c r="A368" s="3" t="s">
        <v>663</v>
      </c>
      <c r="B368" s="4" t="s">
        <v>619</v>
      </c>
      <c r="C368" s="8">
        <f>FN.MAXDEV(FCF_payout, FCF_payoutExp)</f>
        <v>0</v>
      </c>
      <c r="D368" s="12">
        <f>IF(FN.MAXDEV(FCF_payout, FCF_payoutExp) &lt;= Tol, "PASS", "FAIL")</f>
        <v/>
      </c>
    </row>
    <row r="369" spans="1:20">
      <c r="A369" s="3" t="s">
        <v>5</v>
      </c>
      <c r="B369" s="3" t="s">
        <v>620</v>
      </c>
      <c r="C369" s="3" t="s">
        <v>623</v>
      </c>
      <c r="D369" s="3" t="s">
        <v>626</v>
      </c>
      <c r="E369" s="3" t="s">
        <v>629</v>
      </c>
      <c r="F369" s="3" t="s">
        <v>632</v>
      </c>
      <c r="H369" s="3" t="s">
        <v>621</v>
      </c>
      <c r="I369" s="3" t="s">
        <v>624</v>
      </c>
      <c r="J369" s="3" t="s">
        <v>627</v>
      </c>
      <c r="K369" s="3" t="s">
        <v>630</v>
      </c>
      <c r="L369" s="3" t="s">
        <v>633</v>
      </c>
      <c r="N369" s="3" t="s">
        <v>622</v>
      </c>
      <c r="O369" s="3" t="s">
        <v>625</v>
      </c>
      <c r="P369" s="3" t="s">
        <v>628</v>
      </c>
      <c r="Q369" s="3" t="s">
        <v>631</v>
      </c>
      <c r="R369" s="3" t="s">
        <v>634</v>
      </c>
      <c r="T369" s="3" t="s">
        <v>635</v>
      </c>
    </row>
    <row r="370" spans="1:20">
      <c r="A370" s="4" t="s">
        <v>152</v>
      </c>
      <c r="B370" s="9">
        <v>0</v>
      </c>
      <c r="C370" s="9">
        <v>19001.08</v>
      </c>
      <c r="D370" s="9">
        <v>23754.542616</v>
      </c>
      <c r="E370" s="9">
        <v>29543.74467788521</v>
      </c>
      <c r="F370" s="9">
        <v>36597.85379015251</v>
      </c>
      <c r="H370" s="9" cm="1">
        <f t="array" ref="H370:L384">FCF_payout</f>
        <v>0</v>
      </c>
      <c r="I370" s="9">
        <v>0</v>
      </c>
      <c r="J370" s="9">
        <v>0</v>
      </c>
      <c r="K370" s="9">
        <v>0</v>
      </c>
      <c r="L370" s="9">
        <v>0</v>
      </c>
      <c r="N370" s="8" cm="1">
        <f t="array" ref="N370:R384">FN.DEV(FCF_payout, FCF_payoutExp)</f>
        <v>0</v>
      </c>
      <c r="O370" s="8">
        <v>0</v>
      </c>
      <c r="P370" s="8">
        <v>0</v>
      </c>
      <c r="Q370" s="8">
        <v>0</v>
      </c>
      <c r="R370" s="8">
        <v>0</v>
      </c>
      <c r="T370" s="12" cm="1">
        <f t="array" ref="T370:T384">_xlfn.BYROW(FN.DEV(FCF_payout, FCF_payoutExp), _xlfn.LAMBDA(_xlpm.dev_row, IF(MAX(_xlpm.dev_row) &lt;= Tol, "PASS", "FAIL")))</f>
        <v>0</v>
      </c>
    </row>
    <row r="371" spans="1:20">
      <c r="A371" s="4" t="s">
        <v>366</v>
      </c>
      <c r="B371" s="9">
        <v>0</v>
      </c>
      <c r="C371" s="9">
        <v>-6650.377999999999</v>
      </c>
      <c r="D371" s="9">
        <v>-8314.0899156</v>
      </c>
      <c r="E371" s="9">
        <v>-10340.31063725982</v>
      </c>
      <c r="F371" s="9">
        <v>-12809.24882655338</v>
      </c>
      <c r="H371" s="9">
        <v>0</v>
      </c>
      <c r="I371" s="9">
        <v>0</v>
      </c>
      <c r="J371" s="9">
        <v>0</v>
      </c>
      <c r="K371" s="9">
        <v>0</v>
      </c>
      <c r="L371" s="9">
        <v>0</v>
      </c>
      <c r="N371" s="8">
        <v>0</v>
      </c>
      <c r="O371" s="8">
        <v>0</v>
      </c>
      <c r="P371" s="8">
        <v>0</v>
      </c>
      <c r="Q371" s="8">
        <v>0</v>
      </c>
      <c r="R371" s="8">
        <v>0</v>
      </c>
      <c r="T371" s="12">
        <v>0</v>
      </c>
    </row>
    <row r="372" spans="1:20">
      <c r="A372" s="4" t="s">
        <v>368</v>
      </c>
      <c r="B372" s="9">
        <v>0</v>
      </c>
      <c r="C372" s="9">
        <v>12350.702</v>
      </c>
      <c r="D372" s="9">
        <v>15440.4527004</v>
      </c>
      <c r="E372" s="9">
        <v>19203.43404062539</v>
      </c>
      <c r="F372" s="9">
        <v>23788.60496359913</v>
      </c>
      <c r="H372" s="9">
        <v>0</v>
      </c>
      <c r="I372" s="9">
        <v>0</v>
      </c>
      <c r="J372" s="9">
        <v>0</v>
      </c>
      <c r="K372" s="9">
        <v>0</v>
      </c>
      <c r="L372" s="9">
        <v>0</v>
      </c>
      <c r="N372" s="8">
        <v>0</v>
      </c>
      <c r="O372" s="8">
        <v>0</v>
      </c>
      <c r="P372" s="8">
        <v>0</v>
      </c>
      <c r="Q372" s="8">
        <v>0</v>
      </c>
      <c r="R372" s="8">
        <v>0</v>
      </c>
      <c r="T372" s="12">
        <v>0</v>
      </c>
    </row>
    <row r="373" spans="1:20">
      <c r="A373" s="4" t="s">
        <v>370</v>
      </c>
      <c r="B373" s="9">
        <v>0</v>
      </c>
      <c r="C373" s="9">
        <v>6358.100000000002</v>
      </c>
      <c r="D373" s="9">
        <v>7353.639720000004</v>
      </c>
      <c r="E373" s="9">
        <v>8577.853031664001</v>
      </c>
      <c r="F373" s="9">
        <v>10073.9119616348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N373" s="8">
        <v>0</v>
      </c>
      <c r="O373" s="8">
        <v>0</v>
      </c>
      <c r="P373" s="8">
        <v>0</v>
      </c>
      <c r="Q373" s="8">
        <v>0</v>
      </c>
      <c r="R373" s="8">
        <v>0</v>
      </c>
      <c r="T373" s="12">
        <v>0</v>
      </c>
    </row>
    <row r="374" spans="1:20">
      <c r="A374" s="4" t="s">
        <v>372</v>
      </c>
      <c r="B374" s="9">
        <v>0</v>
      </c>
      <c r="C374" s="9">
        <v>-3718.583835616446</v>
      </c>
      <c r="D374" s="9">
        <v>-4525.81561676713</v>
      </c>
      <c r="E374" s="9">
        <v>-5427.556532487015</v>
      </c>
      <c r="F374" s="9">
        <v>-6509.253222259256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N374" s="8">
        <v>0</v>
      </c>
      <c r="O374" s="8">
        <v>0</v>
      </c>
      <c r="P374" s="8">
        <v>0</v>
      </c>
      <c r="Q374" s="8">
        <v>0</v>
      </c>
      <c r="R374" s="8">
        <v>0</v>
      </c>
      <c r="T374" s="12">
        <v>0</v>
      </c>
    </row>
    <row r="375" spans="1:20">
      <c r="A375" s="4" t="s">
        <v>374</v>
      </c>
      <c r="B375" s="9">
        <v>0</v>
      </c>
      <c r="C375" s="9">
        <v>-13581.00000000001</v>
      </c>
      <c r="D375" s="9">
        <v>-16313.49720000002</v>
      </c>
      <c r="E375" s="9">
        <v>-19595.77283663998</v>
      </c>
      <c r="F375" s="9">
        <v>-23538.44233137201</v>
      </c>
      <c r="H375" s="9">
        <v>0</v>
      </c>
      <c r="I375" s="9">
        <v>0</v>
      </c>
      <c r="J375" s="9">
        <v>0</v>
      </c>
      <c r="K375" s="9">
        <v>0</v>
      </c>
      <c r="L375" s="9">
        <v>0</v>
      </c>
      <c r="N375" s="8">
        <v>0</v>
      </c>
      <c r="O375" s="8">
        <v>0</v>
      </c>
      <c r="P375" s="8">
        <v>0</v>
      </c>
      <c r="Q375" s="8">
        <v>0</v>
      </c>
      <c r="R375" s="8">
        <v>0</v>
      </c>
      <c r="T375" s="12">
        <v>0</v>
      </c>
    </row>
    <row r="376" spans="1:20">
      <c r="A376" s="4" t="s">
        <v>376</v>
      </c>
      <c r="B376" s="9">
        <v>0</v>
      </c>
      <c r="C376" s="9">
        <v>1409.218164383545</v>
      </c>
      <c r="D376" s="9">
        <v>1954.779603632855</v>
      </c>
      <c r="E376" s="9">
        <v>2757.957703162388</v>
      </c>
      <c r="F376" s="9">
        <v>3814.821371602669</v>
      </c>
      <c r="H376" s="9">
        <v>0</v>
      </c>
      <c r="I376" s="9">
        <v>0</v>
      </c>
      <c r="J376" s="9">
        <v>0</v>
      </c>
      <c r="K376" s="9">
        <v>0</v>
      </c>
      <c r="L376" s="9">
        <v>0</v>
      </c>
      <c r="N376" s="8">
        <v>0</v>
      </c>
      <c r="O376" s="8">
        <v>0</v>
      </c>
      <c r="P376" s="8">
        <v>0</v>
      </c>
      <c r="Q376" s="8">
        <v>0</v>
      </c>
      <c r="R376" s="8">
        <v>0</v>
      </c>
      <c r="T376" s="12">
        <v>0</v>
      </c>
    </row>
    <row r="377" spans="1:20">
      <c r="A377" s="4" t="s">
        <v>378</v>
      </c>
      <c r="B377" s="9">
        <v>0</v>
      </c>
      <c r="C377" s="9">
        <v>5000</v>
      </c>
      <c r="D377" s="9">
        <v>5000</v>
      </c>
      <c r="E377" s="9">
        <v>-2000</v>
      </c>
      <c r="F377" s="9">
        <v>1000</v>
      </c>
      <c r="H377" s="9">
        <v>0</v>
      </c>
      <c r="I377" s="9">
        <v>0</v>
      </c>
      <c r="J377" s="9">
        <v>0</v>
      </c>
      <c r="K377" s="9">
        <v>0</v>
      </c>
      <c r="L377" s="9">
        <v>0</v>
      </c>
      <c r="N377" s="8">
        <v>0</v>
      </c>
      <c r="O377" s="8">
        <v>0</v>
      </c>
      <c r="P377" s="8">
        <v>0</v>
      </c>
      <c r="Q377" s="8">
        <v>0</v>
      </c>
      <c r="R377" s="8">
        <v>0</v>
      </c>
      <c r="T377" s="12">
        <v>0</v>
      </c>
    </row>
    <row r="378" spans="1:20">
      <c r="A378" s="4" t="s">
        <v>380</v>
      </c>
      <c r="B378" s="9">
        <v>0</v>
      </c>
      <c r="C378" s="9">
        <v>-2597.4</v>
      </c>
      <c r="D378" s="9">
        <v>-2741.7</v>
      </c>
      <c r="E378" s="9">
        <v>-2886</v>
      </c>
      <c r="F378" s="9">
        <v>-2828.28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N378" s="8">
        <v>0</v>
      </c>
      <c r="O378" s="8">
        <v>0</v>
      </c>
      <c r="P378" s="8">
        <v>0</v>
      </c>
      <c r="Q378" s="8">
        <v>0</v>
      </c>
      <c r="R378" s="8">
        <v>0</v>
      </c>
      <c r="T378" s="12">
        <v>0</v>
      </c>
    </row>
    <row r="379" spans="1:20">
      <c r="A379" s="4" t="s">
        <v>382</v>
      </c>
      <c r="B379" s="9">
        <v>0</v>
      </c>
      <c r="C379" s="9">
        <v>3811.818164383545</v>
      </c>
      <c r="D379" s="9">
        <v>4213.079603632854</v>
      </c>
      <c r="E379" s="9">
        <v>-2128.042296837612</v>
      </c>
      <c r="F379" s="9">
        <v>1986.541371602669</v>
      </c>
      <c r="H379" s="9">
        <v>0</v>
      </c>
      <c r="I379" s="9">
        <v>0</v>
      </c>
      <c r="J379" s="9">
        <v>0</v>
      </c>
      <c r="K379" s="9">
        <v>0</v>
      </c>
      <c r="L379" s="9">
        <v>0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T379" s="12">
        <v>0</v>
      </c>
    </row>
    <row r="380" spans="1:20">
      <c r="A380" s="4" t="s">
        <v>384</v>
      </c>
      <c r="B380" s="9">
        <v>0</v>
      </c>
      <c r="C380" s="9">
        <v>-3811.818164383545</v>
      </c>
      <c r="D380" s="9">
        <v>-4213.079603632854</v>
      </c>
      <c r="E380" s="9">
        <v>0</v>
      </c>
      <c r="F380" s="9">
        <v>-1986.541371602669</v>
      </c>
      <c r="H380" s="9">
        <v>0</v>
      </c>
      <c r="I380" s="9">
        <v>0</v>
      </c>
      <c r="J380" s="9">
        <v>0</v>
      </c>
      <c r="K380" s="9">
        <v>0</v>
      </c>
      <c r="L380" s="9">
        <v>0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T380" s="12">
        <v>0</v>
      </c>
    </row>
    <row r="381" spans="1:20">
      <c r="A381" s="4" t="s">
        <v>386</v>
      </c>
      <c r="B381" s="9">
        <v>0</v>
      </c>
      <c r="C381" s="9">
        <v>0</v>
      </c>
      <c r="D381" s="9">
        <v>0</v>
      </c>
      <c r="E381" s="9">
        <v>2128.042296837612</v>
      </c>
      <c r="F381" s="9">
        <v>0</v>
      </c>
      <c r="H381" s="9">
        <v>0</v>
      </c>
      <c r="I381" s="9">
        <v>0</v>
      </c>
      <c r="J381" s="9">
        <v>0</v>
      </c>
      <c r="K381" s="9">
        <v>0</v>
      </c>
      <c r="L381" s="9">
        <v>0</v>
      </c>
      <c r="N381" s="8">
        <v>0</v>
      </c>
      <c r="O381" s="8">
        <v>0</v>
      </c>
      <c r="P381" s="8">
        <v>0</v>
      </c>
      <c r="Q381" s="8">
        <v>0</v>
      </c>
      <c r="R381" s="8">
        <v>0</v>
      </c>
      <c r="T381" s="12">
        <v>0</v>
      </c>
    </row>
    <row r="382" spans="1:20">
      <c r="A382" s="4" t="s">
        <v>388</v>
      </c>
      <c r="B382" s="9">
        <v>0</v>
      </c>
      <c r="C382" s="9">
        <v>0</v>
      </c>
      <c r="D382" s="9">
        <v>0</v>
      </c>
      <c r="E382" s="9">
        <v>0</v>
      </c>
      <c r="F382" s="9">
        <v>0</v>
      </c>
      <c r="H382" s="9">
        <v>0</v>
      </c>
      <c r="I382" s="9">
        <v>0</v>
      </c>
      <c r="J382" s="9">
        <v>0</v>
      </c>
      <c r="K382" s="9">
        <v>0</v>
      </c>
      <c r="L382" s="9">
        <v>0</v>
      </c>
      <c r="N382" s="8">
        <v>0</v>
      </c>
      <c r="O382" s="8">
        <v>0</v>
      </c>
      <c r="P382" s="8">
        <v>0</v>
      </c>
      <c r="Q382" s="8">
        <v>0</v>
      </c>
      <c r="R382" s="8">
        <v>0</v>
      </c>
      <c r="T382" s="12">
        <v>0</v>
      </c>
    </row>
    <row r="383" spans="1:20">
      <c r="A383" s="4" t="s">
        <v>390</v>
      </c>
      <c r="B383" s="9">
        <v>0</v>
      </c>
      <c r="C383" s="9">
        <v>0</v>
      </c>
      <c r="D383" s="9">
        <v>0</v>
      </c>
      <c r="E383" s="9">
        <v>0</v>
      </c>
      <c r="F383" s="9">
        <v>0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N383" s="8">
        <v>0</v>
      </c>
      <c r="O383" s="8">
        <v>0</v>
      </c>
      <c r="P383" s="8">
        <v>0</v>
      </c>
      <c r="Q383" s="8">
        <v>0</v>
      </c>
      <c r="R383" s="8">
        <v>0</v>
      </c>
      <c r="T383" s="12">
        <v>0</v>
      </c>
    </row>
    <row r="384" spans="1:20">
      <c r="A384" s="4" t="s">
        <v>392</v>
      </c>
      <c r="B384" s="9">
        <v>0</v>
      </c>
      <c r="C384" s="9">
        <v>0</v>
      </c>
      <c r="D384" s="9">
        <v>0</v>
      </c>
      <c r="E384" s="9">
        <v>0</v>
      </c>
      <c r="F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N384" s="8">
        <v>0</v>
      </c>
      <c r="O384" s="8">
        <v>0</v>
      </c>
      <c r="P384" s="8">
        <v>0</v>
      </c>
      <c r="Q384" s="8">
        <v>0</v>
      </c>
      <c r="R384" s="8">
        <v>0</v>
      </c>
      <c r="T384" s="12">
        <v>0</v>
      </c>
    </row>
    <row r="387" spans="1:20">
      <c r="A387" s="3" t="s">
        <v>664</v>
      </c>
      <c r="B387" s="4" t="s">
        <v>619</v>
      </c>
      <c r="C387" s="8">
        <f>FN.MAXDEV(SCFrecursive_payout, SCFrecursive_payoutExp)</f>
        <v>0</v>
      </c>
      <c r="D387" s="12">
        <f>IF(FN.MAXDEV(SCFrecursive_payout, SCFrecursive_payoutExp) &lt;= Tol, "PASS", "FAIL")</f>
        <v/>
      </c>
    </row>
    <row r="388" spans="1:20">
      <c r="A388" s="3" t="s">
        <v>5</v>
      </c>
      <c r="B388" s="3" t="s">
        <v>620</v>
      </c>
      <c r="C388" s="3" t="s">
        <v>623</v>
      </c>
      <c r="D388" s="3" t="s">
        <v>626</v>
      </c>
      <c r="E388" s="3" t="s">
        <v>629</v>
      </c>
      <c r="F388" s="3" t="s">
        <v>632</v>
      </c>
      <c r="H388" s="3" t="s">
        <v>621</v>
      </c>
      <c r="I388" s="3" t="s">
        <v>624</v>
      </c>
      <c r="J388" s="3" t="s">
        <v>627</v>
      </c>
      <c r="K388" s="3" t="s">
        <v>630</v>
      </c>
      <c r="L388" s="3" t="s">
        <v>633</v>
      </c>
      <c r="N388" s="3" t="s">
        <v>622</v>
      </c>
      <c r="O388" s="3" t="s">
        <v>625</v>
      </c>
      <c r="P388" s="3" t="s">
        <v>628</v>
      </c>
      <c r="Q388" s="3" t="s">
        <v>631</v>
      </c>
      <c r="R388" s="3" t="s">
        <v>634</v>
      </c>
      <c r="T388" s="3" t="s">
        <v>635</v>
      </c>
    </row>
    <row r="389" spans="1:20">
      <c r="A389" s="4" t="s">
        <v>382</v>
      </c>
      <c r="B389" s="9">
        <v>0</v>
      </c>
      <c r="C389" s="9">
        <v>3811.818164383545</v>
      </c>
      <c r="D389" s="9">
        <v>4213.079603632854</v>
      </c>
      <c r="E389" s="9">
        <v>-2128.042296837612</v>
      </c>
      <c r="F389" s="9">
        <v>1986.541371602669</v>
      </c>
      <c r="H389" s="9" cm="1">
        <f t="array" ref="H389:L418">SCFrecursive_payout</f>
        <v>0</v>
      </c>
      <c r="I389" s="9">
        <v>0</v>
      </c>
      <c r="J389" s="9">
        <v>0</v>
      </c>
      <c r="K389" s="9">
        <v>0</v>
      </c>
      <c r="L389" s="9">
        <v>0</v>
      </c>
      <c r="N389" s="8" cm="1">
        <f t="array" ref="N389:R418">FN.DEV(SCFrecursive_payout, SCFrecursive_payoutExp)</f>
        <v>0</v>
      </c>
      <c r="O389" s="8">
        <v>0</v>
      </c>
      <c r="P389" s="8">
        <v>0</v>
      </c>
      <c r="Q389" s="8">
        <v>0</v>
      </c>
      <c r="R389" s="8">
        <v>0</v>
      </c>
      <c r="T389" s="12" cm="1">
        <f t="array" ref="T389:T418">_xlfn.BYROW(FN.DEV(SCFrecursive_payout, SCFrecursive_payoutExp), _xlfn.LAMBDA(_xlpm.dev_row, IF(MAX(_xlpm.dev_row) &lt;= Tol, "PASS", "FAIL")))</f>
        <v>0</v>
      </c>
    </row>
    <row r="390" spans="1:20">
      <c r="A390" s="4" t="s">
        <v>258</v>
      </c>
      <c r="B390" s="9">
        <v>0</v>
      </c>
      <c r="C390" s="9">
        <v>0</v>
      </c>
      <c r="D390" s="9">
        <v>0</v>
      </c>
      <c r="E390" s="9">
        <v>0</v>
      </c>
      <c r="F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0</v>
      </c>
      <c r="N390" s="8">
        <v>0</v>
      </c>
      <c r="O390" s="8">
        <v>0</v>
      </c>
      <c r="P390" s="8">
        <v>0</v>
      </c>
      <c r="Q390" s="8">
        <v>0</v>
      </c>
      <c r="R390" s="8">
        <v>0</v>
      </c>
      <c r="T390" s="12">
        <v>0</v>
      </c>
    </row>
    <row r="391" spans="1:20">
      <c r="A391" s="4" t="s">
        <v>256</v>
      </c>
      <c r="B391" s="9">
        <v>-0</v>
      </c>
      <c r="C391" s="9">
        <v>-3811.818164383545</v>
      </c>
      <c r="D391" s="9">
        <v>-4213.079603632854</v>
      </c>
      <c r="E391" s="9">
        <v>0</v>
      </c>
      <c r="F391" s="9">
        <v>-1986.541371602669</v>
      </c>
      <c r="H391" s="9">
        <v>0</v>
      </c>
      <c r="I391" s="9">
        <v>0</v>
      </c>
      <c r="J391" s="9">
        <v>0</v>
      </c>
      <c r="K391" s="9">
        <v>0</v>
      </c>
      <c r="L391" s="9">
        <v>0</v>
      </c>
      <c r="N391" s="8">
        <v>0</v>
      </c>
      <c r="O391" s="8">
        <v>0</v>
      </c>
      <c r="P391" s="8">
        <v>0</v>
      </c>
      <c r="Q391" s="8">
        <v>0</v>
      </c>
      <c r="R391" s="8">
        <v>0</v>
      </c>
      <c r="T391" s="12">
        <v>0</v>
      </c>
    </row>
    <row r="392" spans="1:20">
      <c r="A392" s="4" t="s">
        <v>390</v>
      </c>
      <c r="B392" s="9">
        <v>0</v>
      </c>
      <c r="C392" s="9">
        <v>1240.273972602741</v>
      </c>
      <c r="D392" s="9">
        <v>1489.817095890412</v>
      </c>
      <c r="E392" s="9">
        <v>1789.56829558356</v>
      </c>
      <c r="F392" s="9">
        <v>2149.629436654979</v>
      </c>
      <c r="H392" s="9">
        <v>0</v>
      </c>
      <c r="I392" s="9">
        <v>0</v>
      </c>
      <c r="J392" s="9">
        <v>0</v>
      </c>
      <c r="K392" s="9">
        <v>0</v>
      </c>
      <c r="L392" s="9">
        <v>0</v>
      </c>
      <c r="N392" s="8">
        <v>0</v>
      </c>
      <c r="O392" s="8">
        <v>0</v>
      </c>
      <c r="P392" s="8">
        <v>0</v>
      </c>
      <c r="Q392" s="8">
        <v>0</v>
      </c>
      <c r="R392" s="8">
        <v>0</v>
      </c>
      <c r="T392" s="12">
        <v>0</v>
      </c>
    </row>
    <row r="393" spans="1:20">
      <c r="A393" s="4" t="s">
        <v>439</v>
      </c>
      <c r="B393" s="9">
        <v>0</v>
      </c>
      <c r="C393" s="9">
        <v>1240.273972602741</v>
      </c>
      <c r="D393" s="9">
        <v>1489.817095890412</v>
      </c>
      <c r="E393" s="9">
        <v>-338.4740012540515</v>
      </c>
      <c r="F393" s="9">
        <v>2149.629436654979</v>
      </c>
      <c r="H393" s="9">
        <v>0</v>
      </c>
      <c r="I393" s="9">
        <v>0</v>
      </c>
      <c r="J393" s="9">
        <v>0</v>
      </c>
      <c r="K393" s="9">
        <v>0</v>
      </c>
      <c r="L393" s="9">
        <v>0</v>
      </c>
      <c r="N393" s="8">
        <v>0</v>
      </c>
      <c r="O393" s="8">
        <v>0</v>
      </c>
      <c r="P393" s="8">
        <v>0</v>
      </c>
      <c r="Q393" s="8">
        <v>0</v>
      </c>
      <c r="R393" s="8">
        <v>0</v>
      </c>
      <c r="T393" s="12">
        <v>0</v>
      </c>
    </row>
    <row r="394" spans="1:20">
      <c r="A394" s="4" t="s">
        <v>388</v>
      </c>
      <c r="B394" s="9">
        <v>0</v>
      </c>
      <c r="C394" s="9">
        <v>135.2420872658582</v>
      </c>
      <c r="D394" s="9">
        <v>137.0117371243948</v>
      </c>
      <c r="E394" s="9">
        <v>124.8817699912017</v>
      </c>
      <c r="F394" s="9">
        <v>112.5930815970811</v>
      </c>
      <c r="H394" s="9">
        <v>0</v>
      </c>
      <c r="I394" s="9">
        <v>0</v>
      </c>
      <c r="J394" s="9">
        <v>0</v>
      </c>
      <c r="K394" s="9">
        <v>0</v>
      </c>
      <c r="L394" s="9">
        <v>0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T394" s="12">
        <v>0</v>
      </c>
    </row>
    <row r="395" spans="1:20">
      <c r="A395" s="4" t="s">
        <v>392</v>
      </c>
      <c r="B395" s="9">
        <v>0</v>
      </c>
      <c r="C395" s="9">
        <v>1375.516059868599</v>
      </c>
      <c r="D395" s="9">
        <v>1626.828833014807</v>
      </c>
      <c r="E395" s="9">
        <v>-213.5922312628497</v>
      </c>
      <c r="F395" s="9">
        <v>2262.22251825206</v>
      </c>
      <c r="H395" s="9">
        <v>0</v>
      </c>
      <c r="I395" s="9">
        <v>0</v>
      </c>
      <c r="J395" s="9">
        <v>0</v>
      </c>
      <c r="K395" s="9">
        <v>0</v>
      </c>
      <c r="L395" s="9">
        <v>0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  <c r="T395" s="12">
        <v>0</v>
      </c>
    </row>
    <row r="396" spans="1:20">
      <c r="A396" s="4" t="s">
        <v>442</v>
      </c>
      <c r="B396" s="9">
        <v>16500</v>
      </c>
      <c r="C396" s="9">
        <v>17875.5160598686</v>
      </c>
      <c r="D396" s="9">
        <v>19502.3448928834</v>
      </c>
      <c r="E396" s="9">
        <v>19288.75266162055</v>
      </c>
      <c r="F396" s="9">
        <v>21550.97517987261</v>
      </c>
      <c r="H396" s="9">
        <v>0</v>
      </c>
      <c r="I396" s="9">
        <v>0</v>
      </c>
      <c r="J396" s="9">
        <v>0</v>
      </c>
      <c r="K396" s="9">
        <v>0</v>
      </c>
      <c r="L396" s="9">
        <v>0</v>
      </c>
      <c r="N396" s="8">
        <v>0</v>
      </c>
      <c r="O396" s="8">
        <v>0</v>
      </c>
      <c r="P396" s="8">
        <v>0</v>
      </c>
      <c r="Q396" s="8">
        <v>0</v>
      </c>
      <c r="R396" s="8">
        <v>0</v>
      </c>
      <c r="T396" s="12">
        <v>0</v>
      </c>
    </row>
    <row r="397" spans="1:20">
      <c r="A397" s="4" t="s">
        <v>444</v>
      </c>
      <c r="B397" s="9">
        <v>10335.61643835616</v>
      </c>
      <c r="C397" s="9">
        <v>10470.85852562202</v>
      </c>
      <c r="D397" s="9">
        <v>10607.87026274642</v>
      </c>
      <c r="E397" s="9">
        <v>8604.709735900005</v>
      </c>
      <c r="F397" s="9">
        <v>8717.302817497086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N397" s="8">
        <v>0</v>
      </c>
      <c r="O397" s="8">
        <v>0</v>
      </c>
      <c r="P397" s="8">
        <v>0</v>
      </c>
      <c r="Q397" s="8">
        <v>0</v>
      </c>
      <c r="R397" s="8">
        <v>0</v>
      </c>
      <c r="T397" s="12">
        <v>0</v>
      </c>
    </row>
    <row r="398" spans="1:20">
      <c r="A398" s="4" t="s">
        <v>247</v>
      </c>
      <c r="B398" s="9">
        <v>10335.61643835616</v>
      </c>
      <c r="C398" s="9">
        <v>10470.85852562202</v>
      </c>
      <c r="D398" s="9">
        <v>10607.87026274642</v>
      </c>
      <c r="E398" s="9">
        <v>8604.709735900005</v>
      </c>
      <c r="F398" s="9">
        <v>8717.302817497086</v>
      </c>
      <c r="H398" s="9">
        <v>0</v>
      </c>
      <c r="I398" s="9">
        <v>0</v>
      </c>
      <c r="J398" s="9">
        <v>0</v>
      </c>
      <c r="K398" s="9">
        <v>0</v>
      </c>
      <c r="L398" s="9">
        <v>0</v>
      </c>
      <c r="N398" s="8">
        <v>0</v>
      </c>
      <c r="O398" s="8">
        <v>0</v>
      </c>
      <c r="P398" s="8">
        <v>0</v>
      </c>
      <c r="Q398" s="8">
        <v>0</v>
      </c>
      <c r="R398" s="8">
        <v>0</v>
      </c>
      <c r="T398" s="12">
        <v>0</v>
      </c>
    </row>
    <row r="399" spans="1:20">
      <c r="A399" s="4" t="s">
        <v>253</v>
      </c>
      <c r="B399" s="9">
        <v>0</v>
      </c>
      <c r="C399" s="9">
        <v>0</v>
      </c>
      <c r="D399" s="9">
        <v>0</v>
      </c>
      <c r="E399" s="9">
        <v>0</v>
      </c>
      <c r="F399" s="9">
        <v>0</v>
      </c>
      <c r="H399" s="9">
        <v>0</v>
      </c>
      <c r="I399" s="9">
        <v>0</v>
      </c>
      <c r="J399" s="9">
        <v>0</v>
      </c>
      <c r="K399" s="9">
        <v>0</v>
      </c>
      <c r="L399" s="9">
        <v>0</v>
      </c>
      <c r="N399" s="8">
        <v>0</v>
      </c>
      <c r="O399" s="8">
        <v>0</v>
      </c>
      <c r="P399" s="8">
        <v>0</v>
      </c>
      <c r="Q399" s="8">
        <v>0</v>
      </c>
      <c r="R399" s="8">
        <v>0</v>
      </c>
      <c r="T399" s="12">
        <v>0</v>
      </c>
    </row>
    <row r="400" spans="1:20">
      <c r="A400" s="4" t="s">
        <v>446</v>
      </c>
      <c r="B400" s="9">
        <v>0</v>
      </c>
      <c r="C400" s="9">
        <v>10335.61643835616</v>
      </c>
      <c r="D400" s="9">
        <v>10470.85852562202</v>
      </c>
      <c r="E400" s="9">
        <v>10607.87026274642</v>
      </c>
      <c r="F400" s="9">
        <v>8604.709735900005</v>
      </c>
      <c r="H400" s="9">
        <v>0</v>
      </c>
      <c r="I400" s="9">
        <v>0</v>
      </c>
      <c r="J400" s="9">
        <v>0</v>
      </c>
      <c r="K400" s="9">
        <v>0</v>
      </c>
      <c r="L400" s="9">
        <v>0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  <c r="T400" s="12">
        <v>0</v>
      </c>
    </row>
    <row r="401" spans="1:20">
      <c r="A401" s="4" t="s">
        <v>448</v>
      </c>
      <c r="B401" s="9">
        <v>0</v>
      </c>
      <c r="C401" s="9">
        <v>10335.61643835616</v>
      </c>
      <c r="D401" s="9">
        <v>10470.85852562202</v>
      </c>
      <c r="E401" s="9">
        <v>10607.87026274642</v>
      </c>
      <c r="F401" s="9">
        <v>8604.709735900005</v>
      </c>
      <c r="H401" s="9">
        <v>0</v>
      </c>
      <c r="I401" s="9">
        <v>0</v>
      </c>
      <c r="J401" s="9">
        <v>0</v>
      </c>
      <c r="K401" s="9">
        <v>0</v>
      </c>
      <c r="L401" s="9">
        <v>0</v>
      </c>
      <c r="N401" s="8">
        <v>0</v>
      </c>
      <c r="O401" s="8">
        <v>0</v>
      </c>
      <c r="P401" s="8">
        <v>0</v>
      </c>
      <c r="Q401" s="8">
        <v>0</v>
      </c>
      <c r="R401" s="8">
        <v>0</v>
      </c>
      <c r="T401" s="12">
        <v>0</v>
      </c>
    </row>
    <row r="402" spans="1:20">
      <c r="A402" s="4" t="s">
        <v>450</v>
      </c>
      <c r="B402" s="9">
        <v>0</v>
      </c>
      <c r="C402" s="9">
        <v>0</v>
      </c>
      <c r="D402" s="9">
        <v>0</v>
      </c>
      <c r="E402" s="9">
        <v>0</v>
      </c>
      <c r="F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T402" s="12">
        <v>0</v>
      </c>
    </row>
    <row r="403" spans="1:20">
      <c r="A403" s="4" t="s">
        <v>452</v>
      </c>
      <c r="B403" s="9">
        <v>0</v>
      </c>
      <c r="C403" s="9">
        <v>20806.47496397819</v>
      </c>
      <c r="D403" s="9">
        <v>21078.72878836844</v>
      </c>
      <c r="E403" s="9">
        <v>19212.57999864642</v>
      </c>
      <c r="F403" s="9">
        <v>17322.01255339709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N403" s="8">
        <v>0</v>
      </c>
      <c r="O403" s="8">
        <v>0</v>
      </c>
      <c r="P403" s="8">
        <v>0</v>
      </c>
      <c r="Q403" s="8">
        <v>0</v>
      </c>
      <c r="R403" s="8">
        <v>0</v>
      </c>
      <c r="T403" s="12">
        <v>0</v>
      </c>
    </row>
    <row r="404" spans="1:20">
      <c r="A404" s="4" t="s">
        <v>454</v>
      </c>
      <c r="B404" s="9">
        <v>0</v>
      </c>
      <c r="C404" s="9">
        <v>10403.23748198909</v>
      </c>
      <c r="D404" s="9">
        <v>10539.36439418422</v>
      </c>
      <c r="E404" s="9">
        <v>9606.289999323209</v>
      </c>
      <c r="F404" s="9">
        <v>8661.006276698547</v>
      </c>
      <c r="H404" s="9">
        <v>0</v>
      </c>
      <c r="I404" s="9">
        <v>0</v>
      </c>
      <c r="J404" s="9">
        <v>0</v>
      </c>
      <c r="K404" s="9">
        <v>0</v>
      </c>
      <c r="L404" s="9">
        <v>0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T404" s="12">
        <v>0</v>
      </c>
    </row>
    <row r="405" spans="1:20">
      <c r="A405" s="4" t="s">
        <v>456</v>
      </c>
      <c r="B405" s="9">
        <v>0</v>
      </c>
      <c r="C405" s="9">
        <v>0</v>
      </c>
      <c r="D405" s="9">
        <v>0</v>
      </c>
      <c r="E405" s="9">
        <v>0</v>
      </c>
      <c r="F405" s="9">
        <v>0</v>
      </c>
      <c r="H405" s="9">
        <v>0</v>
      </c>
      <c r="I405" s="9">
        <v>0</v>
      </c>
      <c r="J405" s="9">
        <v>0</v>
      </c>
      <c r="K405" s="9">
        <v>0</v>
      </c>
      <c r="L405" s="9">
        <v>0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T405" s="12">
        <v>0</v>
      </c>
    </row>
    <row r="406" spans="1:20">
      <c r="A406" s="4" t="s">
        <v>458</v>
      </c>
      <c r="B406" s="9">
        <v>0</v>
      </c>
      <c r="C406" s="9">
        <v>208.0647496397819</v>
      </c>
      <c r="D406" s="9">
        <v>210.7872878836844</v>
      </c>
      <c r="E406" s="9">
        <v>192.1257999864642</v>
      </c>
      <c r="F406" s="9">
        <v>173.2201255339709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T406" s="12">
        <v>0</v>
      </c>
    </row>
    <row r="407" spans="1:20">
      <c r="A407" s="4" t="s">
        <v>460</v>
      </c>
      <c r="B407" s="9">
        <v>0</v>
      </c>
      <c r="C407" s="9">
        <v>-0</v>
      </c>
      <c r="D407" s="9">
        <v>-0</v>
      </c>
      <c r="E407" s="9">
        <v>-0</v>
      </c>
      <c r="F407" s="9">
        <v>-0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N407" s="8">
        <v>0</v>
      </c>
      <c r="O407" s="8">
        <v>0</v>
      </c>
      <c r="P407" s="8">
        <v>0</v>
      </c>
      <c r="Q407" s="8">
        <v>0</v>
      </c>
      <c r="R407" s="8">
        <v>0</v>
      </c>
      <c r="T407" s="12">
        <v>0</v>
      </c>
    </row>
    <row r="408" spans="1:20">
      <c r="A408" s="4" t="s">
        <v>462</v>
      </c>
      <c r="B408" s="9">
        <v>0</v>
      </c>
      <c r="C408" s="9">
        <v>208.0647496397819</v>
      </c>
      <c r="D408" s="9">
        <v>210.7872878836844</v>
      </c>
      <c r="E408" s="9">
        <v>192.1257999864642</v>
      </c>
      <c r="F408" s="9">
        <v>173.2201255339709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  <c r="T408" s="12">
        <v>0</v>
      </c>
    </row>
    <row r="409" spans="1:20">
      <c r="A409" s="4" t="s">
        <v>464</v>
      </c>
      <c r="B409" s="9">
        <v>0</v>
      </c>
      <c r="C409" s="9">
        <v>0</v>
      </c>
      <c r="D409" s="9">
        <v>0</v>
      </c>
      <c r="E409" s="9">
        <v>0</v>
      </c>
      <c r="F409" s="9">
        <v>0</v>
      </c>
      <c r="H409" s="9">
        <v>0</v>
      </c>
      <c r="I409" s="9">
        <v>0</v>
      </c>
      <c r="J409" s="9">
        <v>0</v>
      </c>
      <c r="K409" s="9">
        <v>0</v>
      </c>
      <c r="L409" s="9">
        <v>0</v>
      </c>
      <c r="N409" s="8">
        <v>0</v>
      </c>
      <c r="O409" s="8">
        <v>0</v>
      </c>
      <c r="P409" s="8">
        <v>0</v>
      </c>
      <c r="Q409" s="8">
        <v>0</v>
      </c>
      <c r="R409" s="8">
        <v>0</v>
      </c>
      <c r="T409" s="12">
        <v>0</v>
      </c>
    </row>
    <row r="410" spans="1:20">
      <c r="A410" s="4" t="s">
        <v>466</v>
      </c>
      <c r="B410" s="9">
        <f>NA()</f>
        <v>0</v>
      </c>
      <c r="C410" s="9">
        <v>2478.309863013702</v>
      </c>
      <c r="D410" s="9">
        <v>3035.998520876714</v>
      </c>
      <c r="E410" s="9">
        <v>3637.988236903458</v>
      </c>
      <c r="F410" s="9">
        <v>4359.623785604277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N410" s="8">
        <v>0</v>
      </c>
      <c r="O410" s="8">
        <v>0</v>
      </c>
      <c r="P410" s="8">
        <v>0</v>
      </c>
      <c r="Q410" s="8">
        <v>0</v>
      </c>
      <c r="R410" s="8">
        <v>0</v>
      </c>
      <c r="T410" s="12">
        <v>0</v>
      </c>
    </row>
    <row r="411" spans="1:20">
      <c r="A411" s="4" t="s">
        <v>468</v>
      </c>
      <c r="B411" s="9">
        <v>0</v>
      </c>
      <c r="C411" s="9">
        <v>1375.516059868602</v>
      </c>
      <c r="D411" s="9">
        <v>1626.828833014806</v>
      </c>
      <c r="E411" s="9">
        <v>-213.5922312628591</v>
      </c>
      <c r="F411" s="9">
        <v>2262.222518252061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N411" s="8">
        <v>0</v>
      </c>
      <c r="O411" s="8">
        <v>0</v>
      </c>
      <c r="P411" s="8">
        <v>0</v>
      </c>
      <c r="Q411" s="8">
        <v>0</v>
      </c>
      <c r="R411" s="8">
        <v>0</v>
      </c>
      <c r="T411" s="12">
        <v>0</v>
      </c>
    </row>
    <row r="412" spans="1:20">
      <c r="A412" s="4" t="s">
        <v>472</v>
      </c>
      <c r="B412" s="9">
        <v>0</v>
      </c>
      <c r="C412" s="9">
        <v>1375.516059868598</v>
      </c>
      <c r="D412" s="9">
        <v>1626.828833014806</v>
      </c>
      <c r="E412" s="9">
        <v>-213.59223126285</v>
      </c>
      <c r="F412" s="9">
        <v>2262.22251825206</v>
      </c>
      <c r="H412" s="9">
        <v>0</v>
      </c>
      <c r="I412" s="9">
        <v>0</v>
      </c>
      <c r="J412" s="9">
        <v>0</v>
      </c>
      <c r="K412" s="9">
        <v>0</v>
      </c>
      <c r="L412" s="9">
        <v>0</v>
      </c>
      <c r="N412" s="8">
        <v>0</v>
      </c>
      <c r="O412" s="8">
        <v>0</v>
      </c>
      <c r="P412" s="8">
        <v>0</v>
      </c>
      <c r="Q412" s="8">
        <v>0</v>
      </c>
      <c r="R412" s="8">
        <v>0</v>
      </c>
      <c r="T412" s="12">
        <v>0</v>
      </c>
    </row>
    <row r="413" spans="1:20">
      <c r="A413" s="4" t="s">
        <v>476</v>
      </c>
      <c r="B413" s="9">
        <v>0</v>
      </c>
      <c r="C413" s="9">
        <v>0</v>
      </c>
      <c r="D413" s="9">
        <v>0</v>
      </c>
      <c r="E413" s="9">
        <v>0</v>
      </c>
      <c r="F413" s="9">
        <v>0</v>
      </c>
      <c r="H413" s="9">
        <v>0</v>
      </c>
      <c r="I413" s="9">
        <v>0</v>
      </c>
      <c r="J413" s="9">
        <v>0</v>
      </c>
      <c r="K413" s="9">
        <v>0</v>
      </c>
      <c r="L413" s="9">
        <v>0</v>
      </c>
      <c r="N413" s="8">
        <v>0</v>
      </c>
      <c r="O413" s="8">
        <v>0</v>
      </c>
      <c r="P413" s="8">
        <v>0</v>
      </c>
      <c r="Q413" s="8">
        <v>0</v>
      </c>
      <c r="R413" s="8">
        <v>0</v>
      </c>
      <c r="T413" s="12">
        <v>0</v>
      </c>
    </row>
    <row r="414" spans="1:20">
      <c r="A414" s="4" t="s">
        <v>478</v>
      </c>
      <c r="B414" s="9">
        <v>0</v>
      </c>
      <c r="C414" s="9">
        <v>0</v>
      </c>
      <c r="D414" s="9">
        <v>0</v>
      </c>
      <c r="E414" s="9">
        <v>0</v>
      </c>
      <c r="F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T414" s="12">
        <v>0</v>
      </c>
    </row>
    <row r="415" spans="1:20">
      <c r="A415" s="4" t="s">
        <v>480</v>
      </c>
      <c r="B415" s="9">
        <v>0</v>
      </c>
      <c r="C415" s="9">
        <v>0</v>
      </c>
      <c r="D415" s="9">
        <v>0</v>
      </c>
      <c r="E415" s="9">
        <v>0</v>
      </c>
      <c r="F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N415" s="8">
        <v>0</v>
      </c>
      <c r="O415" s="8">
        <v>0</v>
      </c>
      <c r="P415" s="8">
        <v>0</v>
      </c>
      <c r="Q415" s="8">
        <v>0</v>
      </c>
      <c r="R415" s="8">
        <v>0</v>
      </c>
      <c r="T415" s="12">
        <v>0</v>
      </c>
    </row>
    <row r="416" spans="1:20">
      <c r="A416" s="4" t="s">
        <v>482</v>
      </c>
      <c r="B416" s="9">
        <v>0</v>
      </c>
      <c r="C416" s="9">
        <v>0</v>
      </c>
      <c r="D416" s="9">
        <v>0</v>
      </c>
      <c r="E416" s="9">
        <v>0</v>
      </c>
      <c r="F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N416" s="8">
        <v>0</v>
      </c>
      <c r="O416" s="8">
        <v>0</v>
      </c>
      <c r="P416" s="8">
        <v>0</v>
      </c>
      <c r="Q416" s="8">
        <v>0</v>
      </c>
      <c r="R416" s="8">
        <v>0</v>
      </c>
      <c r="T416" s="12">
        <v>0</v>
      </c>
    </row>
    <row r="417" spans="1:20">
      <c r="A417" s="4" t="s">
        <v>484</v>
      </c>
      <c r="B417" s="9">
        <v>0</v>
      </c>
      <c r="C417" s="9">
        <v>0</v>
      </c>
      <c r="D417" s="9">
        <v>0</v>
      </c>
      <c r="E417" s="9">
        <v>0</v>
      </c>
      <c r="F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N417" s="8">
        <v>0</v>
      </c>
      <c r="O417" s="8">
        <v>0</v>
      </c>
      <c r="P417" s="8">
        <v>0</v>
      </c>
      <c r="Q417" s="8">
        <v>0</v>
      </c>
      <c r="R417" s="8">
        <v>0</v>
      </c>
      <c r="T417" s="12">
        <v>0</v>
      </c>
    </row>
    <row r="418" spans="1:20">
      <c r="A418" s="4" t="s">
        <v>486</v>
      </c>
      <c r="B418" s="9">
        <v>0</v>
      </c>
      <c r="C418" s="9">
        <v>0</v>
      </c>
      <c r="D418" s="9">
        <v>0</v>
      </c>
      <c r="E418" s="9">
        <v>0</v>
      </c>
      <c r="F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N418" s="8">
        <v>0</v>
      </c>
      <c r="O418" s="8">
        <v>0</v>
      </c>
      <c r="P418" s="8">
        <v>0</v>
      </c>
      <c r="Q418" s="8">
        <v>0</v>
      </c>
      <c r="R418" s="8">
        <v>0</v>
      </c>
      <c r="T418" s="12">
        <v>0</v>
      </c>
    </row>
    <row r="421" spans="1:20">
      <c r="A421" s="3" t="s">
        <v>665</v>
      </c>
      <c r="B421" s="4" t="s">
        <v>619</v>
      </c>
      <c r="C421" s="8">
        <f>FN.MAXDEV(SCF_payout, SCF_payoutExp)</f>
        <v>0</v>
      </c>
      <c r="D421" s="12">
        <f>IF(FN.MAXDEV(SCF_payout, SCF_payoutExp) &lt;= Tol, "PASS", "FAIL")</f>
        <v/>
      </c>
    </row>
    <row r="422" spans="1:20">
      <c r="A422" s="3" t="s">
        <v>5</v>
      </c>
      <c r="B422" s="3" t="s">
        <v>620</v>
      </c>
      <c r="C422" s="3" t="s">
        <v>623</v>
      </c>
      <c r="D422" s="3" t="s">
        <v>626</v>
      </c>
      <c r="E422" s="3" t="s">
        <v>629</v>
      </c>
      <c r="F422" s="3" t="s">
        <v>632</v>
      </c>
      <c r="H422" s="3" t="s">
        <v>621</v>
      </c>
      <c r="I422" s="3" t="s">
        <v>624</v>
      </c>
      <c r="J422" s="3" t="s">
        <v>627</v>
      </c>
      <c r="K422" s="3" t="s">
        <v>630</v>
      </c>
      <c r="L422" s="3" t="s">
        <v>633</v>
      </c>
      <c r="N422" s="3" t="s">
        <v>622</v>
      </c>
      <c r="O422" s="3" t="s">
        <v>625</v>
      </c>
      <c r="P422" s="3" t="s">
        <v>628</v>
      </c>
      <c r="Q422" s="3" t="s">
        <v>631</v>
      </c>
      <c r="R422" s="3" t="s">
        <v>634</v>
      </c>
      <c r="T422" s="3" t="s">
        <v>635</v>
      </c>
    </row>
    <row r="423" spans="1:20">
      <c r="A423" s="4" t="s">
        <v>382</v>
      </c>
      <c r="B423" s="9">
        <v>0</v>
      </c>
      <c r="C423" s="9">
        <v>3811.818164383545</v>
      </c>
      <c r="D423" s="9">
        <v>4213.079603632854</v>
      </c>
      <c r="E423" s="9">
        <v>-2128.042296837612</v>
      </c>
      <c r="F423" s="9">
        <v>1986.541371602669</v>
      </c>
      <c r="H423" s="9" cm="1">
        <f t="array" ref="H423:L453">SCF_payout</f>
        <v>0</v>
      </c>
      <c r="I423" s="9">
        <v>0</v>
      </c>
      <c r="J423" s="9">
        <v>0</v>
      </c>
      <c r="K423" s="9">
        <v>0</v>
      </c>
      <c r="L423" s="9">
        <v>0</v>
      </c>
      <c r="N423" s="8" cm="1">
        <f t="array" ref="N423:R453">FN.DEV(SCF_payout, SCF_payoutExp)</f>
        <v>0</v>
      </c>
      <c r="O423" s="8">
        <v>0</v>
      </c>
      <c r="P423" s="8">
        <v>0</v>
      </c>
      <c r="Q423" s="8">
        <v>0</v>
      </c>
      <c r="R423" s="8">
        <v>0</v>
      </c>
      <c r="T423" s="12" cm="1">
        <f t="array" ref="T423:T453">_xlfn.BYROW(FN.DEV(SCF_payout, SCF_payoutExp), _xlfn.LAMBDA(_xlpm.dev_row, IF(MAX(_xlpm.dev_row) &lt;= Tol, "PASS", "FAIL")))</f>
        <v>0</v>
      </c>
    </row>
    <row r="424" spans="1:20">
      <c r="A424" s="4" t="s">
        <v>258</v>
      </c>
      <c r="B424" s="9">
        <v>0</v>
      </c>
      <c r="C424" s="9">
        <v>0</v>
      </c>
      <c r="D424" s="9">
        <v>0</v>
      </c>
      <c r="E424" s="9">
        <v>0</v>
      </c>
      <c r="F424" s="9">
        <v>0</v>
      </c>
      <c r="H424" s="9">
        <v>0</v>
      </c>
      <c r="I424" s="9">
        <v>0</v>
      </c>
      <c r="J424" s="9">
        <v>0</v>
      </c>
      <c r="K424" s="9">
        <v>0</v>
      </c>
      <c r="L424" s="9">
        <v>0</v>
      </c>
      <c r="N424" s="8">
        <v>0</v>
      </c>
      <c r="O424" s="8">
        <v>0</v>
      </c>
      <c r="P424" s="8">
        <v>0</v>
      </c>
      <c r="Q424" s="8">
        <v>0</v>
      </c>
      <c r="R424" s="8">
        <v>0</v>
      </c>
      <c r="T424" s="12">
        <v>0</v>
      </c>
    </row>
    <row r="425" spans="1:20">
      <c r="A425" s="4" t="s">
        <v>256</v>
      </c>
      <c r="B425" s="9">
        <v>-0</v>
      </c>
      <c r="C425" s="9">
        <v>-3811.818164383545</v>
      </c>
      <c r="D425" s="9">
        <v>-4213.079603632854</v>
      </c>
      <c r="E425" s="9">
        <v>0</v>
      </c>
      <c r="F425" s="9">
        <v>-1986.541371602669</v>
      </c>
      <c r="H425" s="9">
        <v>0</v>
      </c>
      <c r="I425" s="9">
        <v>0</v>
      </c>
      <c r="J425" s="9">
        <v>0</v>
      </c>
      <c r="K425" s="9">
        <v>0</v>
      </c>
      <c r="L425" s="9">
        <v>0</v>
      </c>
      <c r="N425" s="8">
        <v>0</v>
      </c>
      <c r="O425" s="8">
        <v>0</v>
      </c>
      <c r="P425" s="8">
        <v>0</v>
      </c>
      <c r="Q425" s="8">
        <v>0</v>
      </c>
      <c r="R425" s="8">
        <v>0</v>
      </c>
      <c r="T425" s="12">
        <v>0</v>
      </c>
    </row>
    <row r="426" spans="1:20">
      <c r="A426" s="4" t="s">
        <v>390</v>
      </c>
      <c r="B426" s="9">
        <v>0</v>
      </c>
      <c r="C426" s="9">
        <v>1240.273972602741</v>
      </c>
      <c r="D426" s="9">
        <v>1489.817095890412</v>
      </c>
      <c r="E426" s="9">
        <v>1789.56829558356</v>
      </c>
      <c r="F426" s="9">
        <v>2149.629436654979</v>
      </c>
      <c r="H426" s="9">
        <v>0</v>
      </c>
      <c r="I426" s="9">
        <v>0</v>
      </c>
      <c r="J426" s="9">
        <v>0</v>
      </c>
      <c r="K426" s="9">
        <v>0</v>
      </c>
      <c r="L426" s="9">
        <v>0</v>
      </c>
      <c r="N426" s="8">
        <v>0</v>
      </c>
      <c r="O426" s="8">
        <v>0</v>
      </c>
      <c r="P426" s="8">
        <v>0</v>
      </c>
      <c r="Q426" s="8">
        <v>0</v>
      </c>
      <c r="R426" s="8">
        <v>0</v>
      </c>
      <c r="T426" s="12">
        <v>0</v>
      </c>
    </row>
    <row r="427" spans="1:20">
      <c r="A427" s="4" t="s">
        <v>439</v>
      </c>
      <c r="B427" s="9">
        <v>0</v>
      </c>
      <c r="C427" s="9">
        <v>1240.273972602741</v>
      </c>
      <c r="D427" s="9">
        <v>1489.817095890412</v>
      </c>
      <c r="E427" s="9">
        <v>-338.4740012540515</v>
      </c>
      <c r="F427" s="9">
        <v>2149.629436654979</v>
      </c>
      <c r="H427" s="9">
        <v>0</v>
      </c>
      <c r="I427" s="9">
        <v>0</v>
      </c>
      <c r="J427" s="9">
        <v>0</v>
      </c>
      <c r="K427" s="9">
        <v>0</v>
      </c>
      <c r="L427" s="9">
        <v>0</v>
      </c>
      <c r="N427" s="8">
        <v>0</v>
      </c>
      <c r="O427" s="8">
        <v>0</v>
      </c>
      <c r="P427" s="8">
        <v>0</v>
      </c>
      <c r="Q427" s="8">
        <v>0</v>
      </c>
      <c r="R427" s="8">
        <v>0</v>
      </c>
      <c r="T427" s="12">
        <v>0</v>
      </c>
    </row>
    <row r="428" spans="1:20">
      <c r="A428" s="4" t="s">
        <v>442</v>
      </c>
      <c r="B428" s="9">
        <v>16500</v>
      </c>
      <c r="C428" s="9">
        <v>17874.63698630137</v>
      </c>
      <c r="D428" s="9">
        <v>19500.5638150685</v>
      </c>
      <c r="E428" s="9">
        <v>19286.13669828911</v>
      </c>
      <c r="F428" s="9">
        <v>21547.59335398748</v>
      </c>
      <c r="H428" s="9">
        <v>0</v>
      </c>
      <c r="I428" s="9">
        <v>0</v>
      </c>
      <c r="J428" s="9">
        <v>0</v>
      </c>
      <c r="K428" s="9">
        <v>0</v>
      </c>
      <c r="L428" s="9">
        <v>0</v>
      </c>
      <c r="N428" s="8">
        <v>0</v>
      </c>
      <c r="O428" s="8">
        <v>0</v>
      </c>
      <c r="P428" s="8">
        <v>0</v>
      </c>
      <c r="Q428" s="8">
        <v>0</v>
      </c>
      <c r="R428" s="8">
        <v>0</v>
      </c>
      <c r="T428" s="12">
        <v>0</v>
      </c>
    </row>
    <row r="429" spans="1:20">
      <c r="A429" s="4" t="s">
        <v>476</v>
      </c>
      <c r="B429" s="9">
        <v>16500</v>
      </c>
      <c r="C429" s="9">
        <v>17740.27397260274</v>
      </c>
      <c r="D429" s="9">
        <v>19364.45408219178</v>
      </c>
      <c r="E429" s="9">
        <v>19162.08981381445</v>
      </c>
      <c r="F429" s="9">
        <v>21435.76613494409</v>
      </c>
      <c r="H429" s="9">
        <v>0</v>
      </c>
      <c r="I429" s="9">
        <v>0</v>
      </c>
      <c r="J429" s="9">
        <v>0</v>
      </c>
      <c r="K429" s="9">
        <v>0</v>
      </c>
      <c r="L429" s="9">
        <v>0</v>
      </c>
      <c r="N429" s="8">
        <v>0</v>
      </c>
      <c r="O429" s="8">
        <v>0</v>
      </c>
      <c r="P429" s="8">
        <v>0</v>
      </c>
      <c r="Q429" s="8">
        <v>0</v>
      </c>
      <c r="R429" s="8">
        <v>0</v>
      </c>
      <c r="T429" s="12">
        <v>0</v>
      </c>
    </row>
    <row r="430" spans="1:20">
      <c r="A430" s="4" t="s">
        <v>446</v>
      </c>
      <c r="B430" s="9">
        <v>0</v>
      </c>
      <c r="C430" s="9">
        <v>10335.61643835616</v>
      </c>
      <c r="D430" s="9">
        <v>10469.97945205479</v>
      </c>
      <c r="E430" s="9">
        <v>10606.08918493151</v>
      </c>
      <c r="F430" s="9">
        <v>8602.093772568564</v>
      </c>
      <c r="H430" s="9">
        <v>0</v>
      </c>
      <c r="I430" s="9">
        <v>0</v>
      </c>
      <c r="J430" s="9">
        <v>0</v>
      </c>
      <c r="K430" s="9">
        <v>0</v>
      </c>
      <c r="L430" s="9">
        <v>0</v>
      </c>
      <c r="N430" s="8">
        <v>0</v>
      </c>
      <c r="O430" s="8">
        <v>0</v>
      </c>
      <c r="P430" s="8">
        <v>0</v>
      </c>
      <c r="Q430" s="8">
        <v>0</v>
      </c>
      <c r="R430" s="8">
        <v>0</v>
      </c>
      <c r="T430" s="12">
        <v>0</v>
      </c>
    </row>
    <row r="431" spans="1:20">
      <c r="A431" s="4" t="s">
        <v>478</v>
      </c>
      <c r="B431" s="9">
        <v>10335.61643835616</v>
      </c>
      <c r="C431" s="9">
        <v>10335.61643835617</v>
      </c>
      <c r="D431" s="9">
        <v>10469.97945205479</v>
      </c>
      <c r="E431" s="9">
        <v>8478.046888093899</v>
      </c>
      <c r="F431" s="9">
        <v>8602.093772568562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N431" s="8">
        <v>0</v>
      </c>
      <c r="O431" s="8">
        <v>0</v>
      </c>
      <c r="P431" s="8">
        <v>0</v>
      </c>
      <c r="Q431" s="8">
        <v>0</v>
      </c>
      <c r="R431" s="8">
        <v>0</v>
      </c>
      <c r="T431" s="12">
        <v>0</v>
      </c>
    </row>
    <row r="432" spans="1:20">
      <c r="A432" s="4" t="s">
        <v>480</v>
      </c>
      <c r="B432" s="9">
        <v>10335.61643835616</v>
      </c>
      <c r="C432" s="9">
        <v>10335.61643835617</v>
      </c>
      <c r="D432" s="9">
        <v>10469.97945205479</v>
      </c>
      <c r="E432" s="9">
        <v>8478.046888093899</v>
      </c>
      <c r="F432" s="9">
        <v>8602.093772568562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N432" s="8">
        <v>0</v>
      </c>
      <c r="O432" s="8">
        <v>0</v>
      </c>
      <c r="P432" s="8">
        <v>0</v>
      </c>
      <c r="Q432" s="8">
        <v>0</v>
      </c>
      <c r="R432" s="8">
        <v>0</v>
      </c>
      <c r="T432" s="12">
        <v>0</v>
      </c>
    </row>
    <row r="433" spans="1:20">
      <c r="A433" s="4" t="s">
        <v>482</v>
      </c>
      <c r="B433" s="9">
        <v>0</v>
      </c>
      <c r="C433" s="9">
        <v>0</v>
      </c>
      <c r="D433" s="9">
        <v>0</v>
      </c>
      <c r="E433" s="9">
        <v>0</v>
      </c>
      <c r="F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N433" s="8">
        <v>0</v>
      </c>
      <c r="O433" s="8">
        <v>0</v>
      </c>
      <c r="P433" s="8">
        <v>0</v>
      </c>
      <c r="Q433" s="8">
        <v>0</v>
      </c>
      <c r="R433" s="8">
        <v>0</v>
      </c>
      <c r="T433" s="12">
        <v>0</v>
      </c>
    </row>
    <row r="434" spans="1:20">
      <c r="A434" s="4" t="s">
        <v>464</v>
      </c>
      <c r="B434" s="9">
        <v>0</v>
      </c>
      <c r="C434" s="9">
        <v>0</v>
      </c>
      <c r="D434" s="9">
        <v>0</v>
      </c>
      <c r="E434" s="9">
        <v>0</v>
      </c>
      <c r="F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N434" s="8">
        <v>0</v>
      </c>
      <c r="O434" s="8">
        <v>0</v>
      </c>
      <c r="P434" s="8">
        <v>0</v>
      </c>
      <c r="Q434" s="8">
        <v>0</v>
      </c>
      <c r="R434" s="8">
        <v>0</v>
      </c>
      <c r="T434" s="12">
        <v>0</v>
      </c>
    </row>
    <row r="435" spans="1:20">
      <c r="A435" s="4" t="s">
        <v>454</v>
      </c>
      <c r="B435" s="9">
        <v>0</v>
      </c>
      <c r="C435" s="9">
        <v>10335.61643835617</v>
      </c>
      <c r="D435" s="9">
        <v>10469.97945205479</v>
      </c>
      <c r="E435" s="9">
        <v>9542.068036512705</v>
      </c>
      <c r="F435" s="9">
        <v>8602.093772568562</v>
      </c>
      <c r="H435" s="9">
        <v>0</v>
      </c>
      <c r="I435" s="9">
        <v>0</v>
      </c>
      <c r="J435" s="9">
        <v>0</v>
      </c>
      <c r="K435" s="9">
        <v>0</v>
      </c>
      <c r="L435" s="9">
        <v>0</v>
      </c>
      <c r="N435" s="8">
        <v>0</v>
      </c>
      <c r="O435" s="8">
        <v>0</v>
      </c>
      <c r="P435" s="8">
        <v>0</v>
      </c>
      <c r="Q435" s="8">
        <v>0</v>
      </c>
      <c r="R435" s="8">
        <v>0</v>
      </c>
      <c r="T435" s="12">
        <v>0</v>
      </c>
    </row>
    <row r="436" spans="1:20">
      <c r="A436" s="4" t="s">
        <v>458</v>
      </c>
      <c r="B436" s="9">
        <v>0</v>
      </c>
      <c r="C436" s="9">
        <v>206.7123287671233</v>
      </c>
      <c r="D436" s="9">
        <v>209.3995890410959</v>
      </c>
      <c r="E436" s="9">
        <v>190.8413607302541</v>
      </c>
      <c r="F436" s="9">
        <v>172.0418754513712</v>
      </c>
      <c r="H436" s="9">
        <v>0</v>
      </c>
      <c r="I436" s="9">
        <v>0</v>
      </c>
      <c r="J436" s="9">
        <v>0</v>
      </c>
      <c r="K436" s="9">
        <v>0</v>
      </c>
      <c r="L436" s="9">
        <v>0</v>
      </c>
      <c r="N436" s="8">
        <v>0</v>
      </c>
      <c r="O436" s="8">
        <v>0</v>
      </c>
      <c r="P436" s="8">
        <v>0</v>
      </c>
      <c r="Q436" s="8">
        <v>0</v>
      </c>
      <c r="R436" s="8">
        <v>0</v>
      </c>
      <c r="T436" s="12">
        <v>0</v>
      </c>
    </row>
    <row r="437" spans="1:20">
      <c r="A437" s="4" t="s">
        <v>456</v>
      </c>
      <c r="B437" s="9">
        <v>0</v>
      </c>
      <c r="C437" s="9">
        <v>0</v>
      </c>
      <c r="D437" s="9">
        <v>0</v>
      </c>
      <c r="E437" s="9">
        <v>0</v>
      </c>
      <c r="F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N437" s="8">
        <v>0</v>
      </c>
      <c r="O437" s="8">
        <v>0</v>
      </c>
      <c r="P437" s="8">
        <v>0</v>
      </c>
      <c r="Q437" s="8">
        <v>0</v>
      </c>
      <c r="R437" s="8">
        <v>0</v>
      </c>
      <c r="T437" s="12">
        <v>0</v>
      </c>
    </row>
    <row r="438" spans="1:20">
      <c r="A438" s="4" t="s">
        <v>460</v>
      </c>
      <c r="B438" s="9">
        <v>0</v>
      </c>
      <c r="C438" s="9">
        <v>0</v>
      </c>
      <c r="D438" s="9">
        <v>0</v>
      </c>
      <c r="E438" s="9">
        <v>0</v>
      </c>
      <c r="F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N438" s="8">
        <v>0</v>
      </c>
      <c r="O438" s="8">
        <v>0</v>
      </c>
      <c r="P438" s="8">
        <v>0</v>
      </c>
      <c r="Q438" s="8">
        <v>0</v>
      </c>
      <c r="R438" s="8">
        <v>0</v>
      </c>
      <c r="T438" s="12">
        <v>0</v>
      </c>
    </row>
    <row r="439" spans="1:20">
      <c r="A439" s="4" t="s">
        <v>462</v>
      </c>
      <c r="B439" s="9">
        <v>0</v>
      </c>
      <c r="C439" s="9">
        <v>206.7123287671233</v>
      </c>
      <c r="D439" s="9">
        <v>209.3995890410959</v>
      </c>
      <c r="E439" s="9">
        <v>190.8413607302541</v>
      </c>
      <c r="F439" s="9">
        <v>172.0418754513712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N439" s="8">
        <v>0</v>
      </c>
      <c r="O439" s="8">
        <v>0</v>
      </c>
      <c r="P439" s="8">
        <v>0</v>
      </c>
      <c r="Q439" s="8">
        <v>0</v>
      </c>
      <c r="R439" s="8">
        <v>0</v>
      </c>
      <c r="T439" s="12">
        <v>0</v>
      </c>
    </row>
    <row r="440" spans="1:20">
      <c r="A440" s="4" t="s">
        <v>388</v>
      </c>
      <c r="B440" s="9">
        <v>0</v>
      </c>
      <c r="C440" s="9">
        <v>134.3630136986302</v>
      </c>
      <c r="D440" s="9">
        <v>136.1097328767123</v>
      </c>
      <c r="E440" s="9">
        <v>124.0468844746652</v>
      </c>
      <c r="F440" s="9">
        <v>111.8272190433913</v>
      </c>
      <c r="H440" s="9">
        <v>0</v>
      </c>
      <c r="I440" s="9">
        <v>0</v>
      </c>
      <c r="J440" s="9">
        <v>0</v>
      </c>
      <c r="K440" s="9">
        <v>0</v>
      </c>
      <c r="L440" s="9">
        <v>0</v>
      </c>
      <c r="N440" s="8">
        <v>0</v>
      </c>
      <c r="O440" s="8">
        <v>0</v>
      </c>
      <c r="P440" s="8">
        <v>0</v>
      </c>
      <c r="Q440" s="8">
        <v>0</v>
      </c>
      <c r="R440" s="8">
        <v>0</v>
      </c>
      <c r="T440" s="12">
        <v>0</v>
      </c>
    </row>
    <row r="441" spans="1:20">
      <c r="A441" s="4" t="s">
        <v>392</v>
      </c>
      <c r="B441" s="9">
        <v>0</v>
      </c>
      <c r="C441" s="9">
        <v>1374.636986301371</v>
      </c>
      <c r="D441" s="9">
        <v>1625.926828767124</v>
      </c>
      <c r="E441" s="9">
        <v>-214.4271167793863</v>
      </c>
      <c r="F441" s="9">
        <v>2261.45665569837</v>
      </c>
      <c r="H441" s="9">
        <v>0</v>
      </c>
      <c r="I441" s="9">
        <v>0</v>
      </c>
      <c r="J441" s="9">
        <v>0</v>
      </c>
      <c r="K441" s="9">
        <v>0</v>
      </c>
      <c r="L441" s="9">
        <v>0</v>
      </c>
      <c r="N441" s="8">
        <v>0</v>
      </c>
      <c r="O441" s="8">
        <v>0</v>
      </c>
      <c r="P441" s="8">
        <v>0</v>
      </c>
      <c r="Q441" s="8">
        <v>0</v>
      </c>
      <c r="R441" s="8">
        <v>0</v>
      </c>
      <c r="T441" s="12">
        <v>0</v>
      </c>
    </row>
    <row r="442" spans="1:20">
      <c r="A442" s="4" t="s">
        <v>444</v>
      </c>
      <c r="B442" s="9">
        <v>10335.61643835616</v>
      </c>
      <c r="C442" s="9">
        <v>10469.97945205479</v>
      </c>
      <c r="D442" s="9">
        <v>10606.08918493151</v>
      </c>
      <c r="E442" s="9">
        <v>8602.093772568564</v>
      </c>
      <c r="F442" s="9">
        <v>8713.920991611954</v>
      </c>
      <c r="H442" s="9">
        <v>0</v>
      </c>
      <c r="I442" s="9">
        <v>0</v>
      </c>
      <c r="J442" s="9">
        <v>0</v>
      </c>
      <c r="K442" s="9">
        <v>0</v>
      </c>
      <c r="L442" s="9">
        <v>0</v>
      </c>
      <c r="N442" s="8">
        <v>0</v>
      </c>
      <c r="O442" s="8">
        <v>0</v>
      </c>
      <c r="P442" s="8">
        <v>0</v>
      </c>
      <c r="Q442" s="8">
        <v>0</v>
      </c>
      <c r="R442" s="8">
        <v>0</v>
      </c>
      <c r="T442" s="12">
        <v>0</v>
      </c>
    </row>
    <row r="443" spans="1:20">
      <c r="A443" s="4" t="s">
        <v>247</v>
      </c>
      <c r="B443" s="9">
        <v>10335.61643835616</v>
      </c>
      <c r="C443" s="9">
        <v>10469.97945205479</v>
      </c>
      <c r="D443" s="9">
        <v>10606.08918493151</v>
      </c>
      <c r="E443" s="9">
        <v>8602.093772568564</v>
      </c>
      <c r="F443" s="9">
        <v>8713.920991611954</v>
      </c>
      <c r="H443" s="9">
        <v>0</v>
      </c>
      <c r="I443" s="9">
        <v>0</v>
      </c>
      <c r="J443" s="9">
        <v>0</v>
      </c>
      <c r="K443" s="9">
        <v>0</v>
      </c>
      <c r="L443" s="9">
        <v>0</v>
      </c>
      <c r="N443" s="8">
        <v>0</v>
      </c>
      <c r="O443" s="8">
        <v>0</v>
      </c>
      <c r="P443" s="8">
        <v>0</v>
      </c>
      <c r="Q443" s="8">
        <v>0</v>
      </c>
      <c r="R443" s="8">
        <v>0</v>
      </c>
      <c r="T443" s="12">
        <v>0</v>
      </c>
    </row>
    <row r="444" spans="1:20">
      <c r="A444" s="4" t="s">
        <v>253</v>
      </c>
      <c r="B444" s="9">
        <v>0</v>
      </c>
      <c r="C444" s="9">
        <v>0</v>
      </c>
      <c r="D444" s="9">
        <v>0</v>
      </c>
      <c r="E444" s="9">
        <v>0</v>
      </c>
      <c r="F444" s="9">
        <v>0</v>
      </c>
      <c r="H444" s="9">
        <v>0</v>
      </c>
      <c r="I444" s="9">
        <v>0</v>
      </c>
      <c r="J444" s="9">
        <v>0</v>
      </c>
      <c r="K444" s="9">
        <v>0</v>
      </c>
      <c r="L444" s="9">
        <v>0</v>
      </c>
      <c r="N444" s="8">
        <v>0</v>
      </c>
      <c r="O444" s="8">
        <v>0</v>
      </c>
      <c r="P444" s="8">
        <v>0</v>
      </c>
      <c r="Q444" s="8">
        <v>0</v>
      </c>
      <c r="R444" s="8">
        <v>0</v>
      </c>
      <c r="T444" s="12">
        <v>0</v>
      </c>
    </row>
    <row r="445" spans="1:20">
      <c r="A445" s="4" t="s">
        <v>466</v>
      </c>
      <c r="B445" s="9">
        <f>NA()</f>
        <v>0</v>
      </c>
      <c r="C445" s="9">
        <v>2478.309863013702</v>
      </c>
      <c r="D445" s="9">
        <v>3035.998520876714</v>
      </c>
      <c r="E445" s="9">
        <v>3637.988236903458</v>
      </c>
      <c r="F445" s="9">
        <v>4359.623785604277</v>
      </c>
      <c r="H445" s="9">
        <v>0</v>
      </c>
      <c r="I445" s="9">
        <v>0</v>
      </c>
      <c r="J445" s="9">
        <v>0</v>
      </c>
      <c r="K445" s="9">
        <v>0</v>
      </c>
      <c r="L445" s="9">
        <v>0</v>
      </c>
      <c r="N445" s="8">
        <v>0</v>
      </c>
      <c r="O445" s="8">
        <v>0</v>
      </c>
      <c r="P445" s="8">
        <v>0</v>
      </c>
      <c r="Q445" s="8">
        <v>0</v>
      </c>
      <c r="R445" s="8">
        <v>0</v>
      </c>
      <c r="T445" s="12">
        <v>0</v>
      </c>
    </row>
    <row r="446" spans="1:20">
      <c r="A446" s="4" t="s">
        <v>468</v>
      </c>
      <c r="B446" s="9">
        <v>0</v>
      </c>
      <c r="C446" s="9">
        <v>0</v>
      </c>
      <c r="D446" s="9">
        <v>0</v>
      </c>
      <c r="E446" s="9">
        <v>0</v>
      </c>
      <c r="F446" s="9">
        <v>0</v>
      </c>
      <c r="H446" s="9">
        <v>0</v>
      </c>
      <c r="I446" s="9">
        <v>0</v>
      </c>
      <c r="J446" s="9">
        <v>0</v>
      </c>
      <c r="K446" s="9">
        <v>0</v>
      </c>
      <c r="L446" s="9">
        <v>0</v>
      </c>
      <c r="N446" s="8">
        <v>0</v>
      </c>
      <c r="O446" s="8">
        <v>0</v>
      </c>
      <c r="P446" s="8">
        <v>0</v>
      </c>
      <c r="Q446" s="8">
        <v>0</v>
      </c>
      <c r="R446" s="8">
        <v>0</v>
      </c>
      <c r="T446" s="12">
        <v>0</v>
      </c>
    </row>
    <row r="447" spans="1:20">
      <c r="A447" s="4" t="s">
        <v>470</v>
      </c>
      <c r="B447" s="9">
        <v>0</v>
      </c>
      <c r="C447" s="9">
        <v>0</v>
      </c>
      <c r="D447" s="9">
        <v>0</v>
      </c>
      <c r="E447" s="9">
        <v>0</v>
      </c>
      <c r="F447" s="9">
        <v>0</v>
      </c>
      <c r="H447" s="9">
        <v>0</v>
      </c>
      <c r="I447" s="9">
        <v>0</v>
      </c>
      <c r="J447" s="9">
        <v>0</v>
      </c>
      <c r="K447" s="9">
        <v>0</v>
      </c>
      <c r="L447" s="9">
        <v>0</v>
      </c>
      <c r="N447" s="8">
        <v>0</v>
      </c>
      <c r="O447" s="8">
        <v>0</v>
      </c>
      <c r="P447" s="8">
        <v>0</v>
      </c>
      <c r="Q447" s="8">
        <v>0</v>
      </c>
      <c r="R447" s="8">
        <v>0</v>
      </c>
      <c r="T447" s="12">
        <v>0</v>
      </c>
    </row>
    <row r="448" spans="1:20">
      <c r="A448" s="4" t="s">
        <v>472</v>
      </c>
      <c r="B448" s="9">
        <v>0</v>
      </c>
      <c r="C448" s="9">
        <v>1374.636986301372</v>
      </c>
      <c r="D448" s="9">
        <v>1625.926828767126</v>
      </c>
      <c r="E448" s="9">
        <v>-214.427116779385</v>
      </c>
      <c r="F448" s="9">
        <v>2261.45665569837</v>
      </c>
      <c r="H448" s="9">
        <v>0</v>
      </c>
      <c r="I448" s="9">
        <v>0</v>
      </c>
      <c r="J448" s="9">
        <v>0</v>
      </c>
      <c r="K448" s="9">
        <v>0</v>
      </c>
      <c r="L448" s="9">
        <v>0</v>
      </c>
      <c r="N448" s="8">
        <v>0</v>
      </c>
      <c r="O448" s="8">
        <v>0</v>
      </c>
      <c r="P448" s="8">
        <v>0</v>
      </c>
      <c r="Q448" s="8">
        <v>0</v>
      </c>
      <c r="R448" s="8">
        <v>0</v>
      </c>
      <c r="T448" s="12">
        <v>0</v>
      </c>
    </row>
    <row r="449" spans="1:20">
      <c r="A449" s="4" t="s">
        <v>484</v>
      </c>
      <c r="B449" s="9">
        <v>0</v>
      </c>
      <c r="C449" s="9">
        <v>-1.35242087265857</v>
      </c>
      <c r="D449" s="9">
        <v>-1.387698842588463</v>
      </c>
      <c r="E449" s="9">
        <v>-1.284439256210106</v>
      </c>
      <c r="F449" s="9">
        <v>-1.178250082599703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  <c r="N449" s="8">
        <v>0</v>
      </c>
      <c r="O449" s="8">
        <v>0</v>
      </c>
      <c r="P449" s="8">
        <v>0</v>
      </c>
      <c r="Q449" s="8">
        <v>0</v>
      </c>
      <c r="R449" s="8">
        <v>0</v>
      </c>
      <c r="T449" s="12">
        <v>0</v>
      </c>
    </row>
    <row r="450" spans="1:20">
      <c r="A450" s="4" t="s">
        <v>486</v>
      </c>
      <c r="B450" s="9">
        <v>0</v>
      </c>
      <c r="C450" s="9">
        <v>-0.8790735672264418</v>
      </c>
      <c r="D450" s="9">
        <v>-1.781077814906894</v>
      </c>
      <c r="E450" s="9">
        <v>-2.61596333144189</v>
      </c>
      <c r="F450" s="9">
        <v>-3.381825885131548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N450" s="8">
        <v>0</v>
      </c>
      <c r="O450" s="8">
        <v>0</v>
      </c>
      <c r="P450" s="8">
        <v>0</v>
      </c>
      <c r="Q450" s="8">
        <v>0</v>
      </c>
      <c r="R450" s="8">
        <v>0</v>
      </c>
      <c r="T450" s="12">
        <v>0</v>
      </c>
    </row>
    <row r="451" spans="1:20">
      <c r="A451" s="4" t="s">
        <v>448</v>
      </c>
      <c r="B451" s="9">
        <v>0</v>
      </c>
      <c r="C451" s="9">
        <v>0</v>
      </c>
      <c r="D451" s="9">
        <v>0</v>
      </c>
      <c r="E451" s="9">
        <v>0</v>
      </c>
      <c r="F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N451" s="8">
        <v>0</v>
      </c>
      <c r="O451" s="8">
        <v>0</v>
      </c>
      <c r="P451" s="8">
        <v>0</v>
      </c>
      <c r="Q451" s="8">
        <v>0</v>
      </c>
      <c r="R451" s="8">
        <v>0</v>
      </c>
      <c r="T451" s="12">
        <v>0</v>
      </c>
    </row>
    <row r="452" spans="1:20">
      <c r="A452" s="4" t="s">
        <v>450</v>
      </c>
      <c r="B452" s="9">
        <v>0</v>
      </c>
      <c r="C452" s="9">
        <v>0</v>
      </c>
      <c r="D452" s="9">
        <v>0</v>
      </c>
      <c r="E452" s="9">
        <v>0</v>
      </c>
      <c r="F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N452" s="8">
        <v>0</v>
      </c>
      <c r="O452" s="8">
        <v>0</v>
      </c>
      <c r="P452" s="8">
        <v>0</v>
      </c>
      <c r="Q452" s="8">
        <v>0</v>
      </c>
      <c r="R452" s="8">
        <v>0</v>
      </c>
      <c r="T452" s="12">
        <v>0</v>
      </c>
    </row>
    <row r="453" spans="1:20">
      <c r="A453" s="4" t="s">
        <v>452</v>
      </c>
      <c r="B453" s="9">
        <v>0</v>
      </c>
      <c r="C453" s="9">
        <v>0</v>
      </c>
      <c r="D453" s="9">
        <v>0</v>
      </c>
      <c r="E453" s="9">
        <v>0</v>
      </c>
      <c r="F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N453" s="8">
        <v>0</v>
      </c>
      <c r="O453" s="8">
        <v>0</v>
      </c>
      <c r="P453" s="8">
        <v>0</v>
      </c>
      <c r="Q453" s="8">
        <v>0</v>
      </c>
      <c r="R453" s="8">
        <v>0</v>
      </c>
      <c r="T453" s="12">
        <v>0</v>
      </c>
    </row>
    <row r="456" spans="1:20">
      <c r="A456" s="3" t="s">
        <v>666</v>
      </c>
      <c r="B456" s="4" t="s">
        <v>619</v>
      </c>
      <c r="C456" s="8">
        <f>FN.MAXDEV(Unbalance_payout, Unbalance_payoutExp)</f>
        <v>0</v>
      </c>
      <c r="D456" s="12">
        <f>IF(FN.MAXDEV(Unbalance_payout, Unbalance_payoutExp) &lt;= Tol, "PASS", "FAIL")</f>
        <v/>
      </c>
    </row>
    <row r="457" spans="1:20">
      <c r="A457" s="3" t="s">
        <v>5</v>
      </c>
      <c r="B457" s="3" t="s">
        <v>620</v>
      </c>
      <c r="C457" s="3" t="s">
        <v>623</v>
      </c>
      <c r="D457" s="3" t="s">
        <v>626</v>
      </c>
      <c r="E457" s="3" t="s">
        <v>629</v>
      </c>
      <c r="F457" s="3" t="s">
        <v>632</v>
      </c>
      <c r="H457" s="3" t="s">
        <v>621</v>
      </c>
      <c r="I457" s="3" t="s">
        <v>624</v>
      </c>
      <c r="J457" s="3" t="s">
        <v>627</v>
      </c>
      <c r="K457" s="3" t="s">
        <v>630</v>
      </c>
      <c r="L457" s="3" t="s">
        <v>633</v>
      </c>
      <c r="N457" s="3" t="s">
        <v>622</v>
      </c>
      <c r="O457" s="3" t="s">
        <v>625</v>
      </c>
      <c r="P457" s="3" t="s">
        <v>628</v>
      </c>
      <c r="Q457" s="3" t="s">
        <v>631</v>
      </c>
      <c r="R457" s="3" t="s">
        <v>634</v>
      </c>
      <c r="T457" s="3" t="s">
        <v>635</v>
      </c>
    </row>
    <row r="458" spans="1:20">
      <c r="A458" s="4" t="s">
        <v>264</v>
      </c>
      <c r="B458" s="9">
        <v>0</v>
      </c>
      <c r="C458" s="9">
        <v>-2.91038304567337E-11</v>
      </c>
      <c r="D458" s="9">
        <v>0</v>
      </c>
      <c r="E458" s="9">
        <v>2.91038304567337E-11</v>
      </c>
      <c r="F458" s="9">
        <v>0</v>
      </c>
      <c r="H458" s="9" cm="1">
        <f t="array" ref="H458:L458">Unbalance_payout</f>
        <v>0</v>
      </c>
      <c r="I458" s="9">
        <v>0</v>
      </c>
      <c r="J458" s="9">
        <v>0</v>
      </c>
      <c r="K458" s="9">
        <v>0</v>
      </c>
      <c r="L458" s="9">
        <v>0</v>
      </c>
      <c r="N458" s="8" cm="1">
        <f t="array" ref="N458:R458">FN.DEV(Unbalance_payout, Unbalance_payoutExp)</f>
        <v>0</v>
      </c>
      <c r="O458" s="8">
        <v>0</v>
      </c>
      <c r="P458" s="8">
        <v>0</v>
      </c>
      <c r="Q458" s="8">
        <v>0</v>
      </c>
      <c r="R458" s="8">
        <v>0</v>
      </c>
      <c r="T458" s="12" cm="1">
        <f t="array" ref="T458">_xlfn.BYROW(FN.DEV(Unbalance_payout, Unbalance_payoutExp), _xlfn.LAMBDA(_xlpm.dev_row, IF(MAX(_xlpm.dev_row) &lt;= Tol, "PASS", "FAIL")))</f>
        <v>0</v>
      </c>
    </row>
    <row r="461" spans="1:20">
      <c r="A461" s="3" t="s">
        <v>667</v>
      </c>
      <c r="B461" s="4" t="s">
        <v>619</v>
      </c>
      <c r="C461" s="8">
        <f>FN.MAXDEV(ParityA_payout, ParityA_payoutExp)</f>
        <v>0</v>
      </c>
      <c r="D461" s="12">
        <f>IF(FN.MAXDEV(ParityA_payout, ParityA_payoutExp) &lt;= Tol, "PASS", "FAIL")</f>
        <v/>
      </c>
    </row>
    <row r="462" spans="1:20">
      <c r="A462" s="3" t="s">
        <v>5</v>
      </c>
      <c r="B462" s="3" t="s">
        <v>620</v>
      </c>
      <c r="C462" s="3" t="s">
        <v>623</v>
      </c>
      <c r="D462" s="3" t="s">
        <v>626</v>
      </c>
      <c r="E462" s="3" t="s">
        <v>629</v>
      </c>
      <c r="F462" s="3" t="s">
        <v>632</v>
      </c>
      <c r="H462" s="3" t="s">
        <v>621</v>
      </c>
      <c r="I462" s="3" t="s">
        <v>624</v>
      </c>
      <c r="J462" s="3" t="s">
        <v>627</v>
      </c>
      <c r="K462" s="3" t="s">
        <v>630</v>
      </c>
      <c r="L462" s="3" t="s">
        <v>633</v>
      </c>
      <c r="N462" s="3" t="s">
        <v>622</v>
      </c>
      <c r="O462" s="3" t="s">
        <v>625</v>
      </c>
      <c r="P462" s="3" t="s">
        <v>628</v>
      </c>
      <c r="Q462" s="3" t="s">
        <v>631</v>
      </c>
      <c r="R462" s="3" t="s">
        <v>634</v>
      </c>
      <c r="T462" s="3" t="s">
        <v>635</v>
      </c>
    </row>
    <row r="463" spans="1:20">
      <c r="A463" s="4" t="s">
        <v>470</v>
      </c>
      <c r="B463" s="9">
        <v>0</v>
      </c>
      <c r="C463" s="9">
        <v>-2.728484105318785E-12</v>
      </c>
      <c r="D463" s="9">
        <v>6.821210263296962E-13</v>
      </c>
      <c r="E463" s="9">
        <v>9.322320693172514E-12</v>
      </c>
      <c r="F463" s="9">
        <v>-9.094947017729282E-13</v>
      </c>
      <c r="H463" s="9" cm="1">
        <f t="array" ref="H463:L463">ParityA_payout</f>
        <v>0</v>
      </c>
      <c r="I463" s="9">
        <v>0</v>
      </c>
      <c r="J463" s="9">
        <v>0</v>
      </c>
      <c r="K463" s="9">
        <v>0</v>
      </c>
      <c r="L463" s="9">
        <v>0</v>
      </c>
      <c r="N463" s="8" cm="1">
        <f t="array" ref="N463:R463">FN.DEV(ParityA_payout, ParityA_payoutExp)</f>
        <v>0</v>
      </c>
      <c r="O463" s="8">
        <v>0</v>
      </c>
      <c r="P463" s="8">
        <v>0</v>
      </c>
      <c r="Q463" s="8">
        <v>0</v>
      </c>
      <c r="R463" s="8">
        <v>0</v>
      </c>
      <c r="T463" s="12" cm="1">
        <f t="array" ref="T463">_xlfn.BYROW(FN.DEV(ParityA_payout, ParityA_payoutExp), _xlfn.LAMBDA(_xlpm.dev_row, IF(MAX(_xlpm.dev_row) &lt;= Tol, "PASS", "FAIL")))</f>
        <v>0</v>
      </c>
    </row>
    <row r="466" spans="1:20">
      <c r="A466" s="3" t="s">
        <v>668</v>
      </c>
      <c r="B466" s="4" t="s">
        <v>619</v>
      </c>
      <c r="C466" s="8">
        <f>FN.MAXDEV(ParityB_payout, ParityB_payoutExp)</f>
        <v>0</v>
      </c>
      <c r="D466" s="12">
        <f>IF(FN.MAXDEV(ParityB_payout, ParityB_payoutExp) &lt;= Tol, "PASS", "FAIL")</f>
        <v/>
      </c>
    </row>
    <row r="467" spans="1:20">
      <c r="A467" s="3" t="s">
        <v>5</v>
      </c>
      <c r="B467" s="3" t="s">
        <v>620</v>
      </c>
      <c r="C467" s="3" t="s">
        <v>623</v>
      </c>
      <c r="D467" s="3" t="s">
        <v>626</v>
      </c>
      <c r="E467" s="3" t="s">
        <v>629</v>
      </c>
      <c r="F467" s="3" t="s">
        <v>632</v>
      </c>
      <c r="H467" s="3" t="s">
        <v>621</v>
      </c>
      <c r="I467" s="3" t="s">
        <v>624</v>
      </c>
      <c r="J467" s="3" t="s">
        <v>627</v>
      </c>
      <c r="K467" s="3" t="s">
        <v>630</v>
      </c>
      <c r="L467" s="3" t="s">
        <v>633</v>
      </c>
      <c r="N467" s="3" t="s">
        <v>622</v>
      </c>
      <c r="O467" s="3" t="s">
        <v>625</v>
      </c>
      <c r="P467" s="3" t="s">
        <v>628</v>
      </c>
      <c r="Q467" s="3" t="s">
        <v>631</v>
      </c>
      <c r="R467" s="3" t="s">
        <v>634</v>
      </c>
      <c r="T467" s="3" t="s">
        <v>635</v>
      </c>
    </row>
    <row r="468" spans="1:20">
      <c r="A468" s="4" t="s">
        <v>474</v>
      </c>
      <c r="B468" s="9">
        <v>0</v>
      </c>
      <c r="C468" s="9">
        <v>1.364242052659392E-12</v>
      </c>
      <c r="D468" s="9">
        <v>6.821210263296962E-13</v>
      </c>
      <c r="E468" s="9">
        <v>2.273736754432321E-13</v>
      </c>
      <c r="F468" s="9">
        <v>4.547473508864641E-13</v>
      </c>
      <c r="H468" s="9" cm="1">
        <f t="array" ref="H468:L468">ParityB_payout</f>
        <v>0</v>
      </c>
      <c r="I468" s="9">
        <v>0</v>
      </c>
      <c r="J468" s="9">
        <v>0</v>
      </c>
      <c r="K468" s="9">
        <v>0</v>
      </c>
      <c r="L468" s="9">
        <v>0</v>
      </c>
      <c r="N468" s="8" cm="1">
        <f t="array" ref="N468:R468">FN.DEV(ParityB_payout, ParityB_payoutExp)</f>
        <v>0</v>
      </c>
      <c r="O468" s="8">
        <v>0</v>
      </c>
      <c r="P468" s="8">
        <v>0</v>
      </c>
      <c r="Q468" s="8">
        <v>0</v>
      </c>
      <c r="R468" s="8">
        <v>0</v>
      </c>
      <c r="T468" s="12" cm="1">
        <f t="array" ref="T468">_xlfn.BYROW(FN.DEV(ParityB_payout, ParityB_payoutExp), _xlfn.LAMBDA(_xlpm.dev_row, IF(MAX(_xlpm.dev_row) &lt;= Tol, "PASS", "FAIL")))</f>
        <v>0</v>
      </c>
    </row>
    <row r="471" spans="1:20">
      <c r="A471" s="3" t="s">
        <v>669</v>
      </c>
      <c r="B471" s="4" t="s">
        <v>619</v>
      </c>
      <c r="C471" s="8">
        <f>FN.MAXDEV(SCFParityB_payout, SCFParityB_payoutExp)</f>
        <v>0</v>
      </c>
      <c r="D471" s="12">
        <f>IF(FN.MAXDEV(SCFParityB_payout, SCFParityB_payoutExp) &lt;= Tol, "PASS", "FAIL")</f>
        <v/>
      </c>
    </row>
    <row r="472" spans="1:20">
      <c r="A472" s="3" t="s">
        <v>5</v>
      </c>
      <c r="B472" s="3" t="s">
        <v>620</v>
      </c>
      <c r="C472" s="3" t="s">
        <v>623</v>
      </c>
      <c r="D472" s="3" t="s">
        <v>626</v>
      </c>
      <c r="E472" s="3" t="s">
        <v>629</v>
      </c>
      <c r="F472" s="3" t="s">
        <v>632</v>
      </c>
      <c r="H472" s="3" t="s">
        <v>621</v>
      </c>
      <c r="I472" s="3" t="s">
        <v>624</v>
      </c>
      <c r="J472" s="3" t="s">
        <v>627</v>
      </c>
      <c r="K472" s="3" t="s">
        <v>630</v>
      </c>
      <c r="L472" s="3" t="s">
        <v>633</v>
      </c>
      <c r="N472" s="3" t="s">
        <v>622</v>
      </c>
      <c r="O472" s="3" t="s">
        <v>625</v>
      </c>
      <c r="P472" s="3" t="s">
        <v>628</v>
      </c>
      <c r="Q472" s="3" t="s">
        <v>631</v>
      </c>
      <c r="R472" s="3" t="s">
        <v>634</v>
      </c>
      <c r="T472" s="3" t="s">
        <v>635</v>
      </c>
    </row>
    <row r="473" spans="1:20">
      <c r="A473" s="4" t="s">
        <v>474</v>
      </c>
      <c r="B473" s="9">
        <v>0</v>
      </c>
      <c r="C473" s="9">
        <v>-2.273736754432321E-13</v>
      </c>
      <c r="D473" s="9">
        <v>-1.364242052659392E-12</v>
      </c>
      <c r="E473" s="9">
        <v>-1.364242052659392E-12</v>
      </c>
      <c r="F473" s="9">
        <v>4.547473508864641E-13</v>
      </c>
      <c r="H473" s="9" cm="1">
        <f t="array" ref="H473:L473">SCFParityB_payout</f>
        <v>0</v>
      </c>
      <c r="I473" s="9">
        <v>0</v>
      </c>
      <c r="J473" s="9">
        <v>0</v>
      </c>
      <c r="K473" s="9">
        <v>0</v>
      </c>
      <c r="L473" s="9">
        <v>0</v>
      </c>
      <c r="N473" s="8" cm="1">
        <f t="array" ref="N473:R473">FN.DEV(SCFParityB_payout, SCFParityB_payoutExp)</f>
        <v>0</v>
      </c>
      <c r="O473" s="8">
        <v>0</v>
      </c>
      <c r="P473" s="8">
        <v>0</v>
      </c>
      <c r="Q473" s="8">
        <v>0</v>
      </c>
      <c r="R473" s="8">
        <v>0</v>
      </c>
      <c r="T473" s="12" cm="1">
        <f t="array" ref="T473">_xlfn.BYROW(FN.DEV(SCFParityB_payout, SCFParityB_payoutExp), _xlfn.LAMBDA(_xlpm.dev_row, IF(MAX(_xlpm.dev_row) &lt;= Tol, "PASS", "FAIL")))</f>
        <v>0</v>
      </c>
    </row>
    <row r="476" spans="1:20">
      <c r="A476" s="3" t="s">
        <v>670</v>
      </c>
      <c r="B476" s="4" t="s">
        <v>619</v>
      </c>
      <c r="C476" s="8">
        <f>FN.MAXDEV(SalesCOGS_deleverage, SalesCOGS_deleverageExp)</f>
        <v>0</v>
      </c>
      <c r="D476" s="12">
        <f>IF(FN.MAXDEV(SalesCOGS_deleverage, SalesCOGS_deleverageExp) &lt;= Tol, "PASS", "FAIL")</f>
        <v/>
      </c>
    </row>
    <row r="477" spans="1:20">
      <c r="A477" s="3" t="s">
        <v>5</v>
      </c>
      <c r="B477" s="3" t="s">
        <v>620</v>
      </c>
      <c r="C477" s="3" t="s">
        <v>623</v>
      </c>
      <c r="D477" s="3" t="s">
        <v>626</v>
      </c>
      <c r="E477" s="3" t="s">
        <v>629</v>
      </c>
      <c r="F477" s="3" t="s">
        <v>632</v>
      </c>
      <c r="H477" s="3" t="s">
        <v>621</v>
      </c>
      <c r="I477" s="3" t="s">
        <v>624</v>
      </c>
      <c r="J477" s="3" t="s">
        <v>627</v>
      </c>
      <c r="K477" s="3" t="s">
        <v>630</v>
      </c>
      <c r="L477" s="3" t="s">
        <v>633</v>
      </c>
      <c r="N477" s="3" t="s">
        <v>622</v>
      </c>
      <c r="O477" s="3" t="s">
        <v>625</v>
      </c>
      <c r="P477" s="3" t="s">
        <v>628</v>
      </c>
      <c r="Q477" s="3" t="s">
        <v>631</v>
      </c>
      <c r="R477" s="3" t="s">
        <v>634</v>
      </c>
      <c r="T477" s="3" t="s">
        <v>635</v>
      </c>
    </row>
    <row r="478" spans="1:20">
      <c r="A478" s="4" t="s">
        <v>45</v>
      </c>
      <c r="B478" s="9">
        <v>10000</v>
      </c>
      <c r="C478" s="9">
        <v>10500</v>
      </c>
      <c r="D478" s="9">
        <v>11025</v>
      </c>
      <c r="E478" s="9">
        <v>11576.25</v>
      </c>
      <c r="F478" s="9">
        <v>12155.0625</v>
      </c>
      <c r="H478" s="9" cm="1">
        <f t="array" ref="H478:L483">SalesCOGS_deleverage</f>
        <v>0</v>
      </c>
      <c r="I478" s="9">
        <v>0</v>
      </c>
      <c r="J478" s="9">
        <v>0</v>
      </c>
      <c r="K478" s="9">
        <v>0</v>
      </c>
      <c r="L478" s="9">
        <v>0</v>
      </c>
      <c r="N478" s="8" cm="1">
        <f t="array" ref="N478:R483">FN.DEV(SalesCOGS_deleverage, SalesCOGS_deleverageExp)</f>
        <v>0</v>
      </c>
      <c r="O478" s="8">
        <v>0</v>
      </c>
      <c r="P478" s="8">
        <v>0</v>
      </c>
      <c r="Q478" s="8">
        <v>0</v>
      </c>
      <c r="R478" s="8">
        <v>0</v>
      </c>
      <c r="T478" s="12" cm="1">
        <f t="array" ref="T478:T483">_xlfn.BYROW(FN.DEV(SalesCOGS_deleverage, SalesCOGS_deleverageExp), _xlfn.LAMBDA(_xlpm.dev_row, IF(MAX(_xlpm.dev_row) &lt;= Tol, "PASS", "FAIL")))</f>
        <v>0</v>
      </c>
    </row>
    <row r="479" spans="1:20">
      <c r="A479" s="4" t="s">
        <v>57</v>
      </c>
      <c r="B479" s="9">
        <v>0.1</v>
      </c>
      <c r="C479" s="9">
        <v>0.11</v>
      </c>
      <c r="D479" s="9">
        <v>0.121</v>
      </c>
      <c r="E479" s="9">
        <v>0.1331</v>
      </c>
      <c r="F479" s="9">
        <v>0.14641</v>
      </c>
      <c r="H479" s="9">
        <v>0</v>
      </c>
      <c r="I479" s="9">
        <v>0</v>
      </c>
      <c r="J479" s="9">
        <v>0</v>
      </c>
      <c r="K479" s="9">
        <v>0</v>
      </c>
      <c r="L479" s="9">
        <v>0</v>
      </c>
      <c r="N479" s="8">
        <v>0</v>
      </c>
      <c r="O479" s="8">
        <v>0</v>
      </c>
      <c r="P479" s="8">
        <v>0</v>
      </c>
      <c r="Q479" s="8">
        <v>0</v>
      </c>
      <c r="R479" s="8">
        <v>0</v>
      </c>
      <c r="T479" s="12">
        <v>0</v>
      </c>
    </row>
    <row r="480" spans="1:20">
      <c r="A480" s="4" t="s">
        <v>44</v>
      </c>
      <c r="B480" s="9">
        <v>1000</v>
      </c>
      <c r="C480" s="9">
        <v>1155</v>
      </c>
      <c r="D480" s="9">
        <v>1334.025</v>
      </c>
      <c r="E480" s="9">
        <v>1540.798875</v>
      </c>
      <c r="F480" s="9">
        <v>1779.622700625001</v>
      </c>
      <c r="H480" s="9">
        <v>0</v>
      </c>
      <c r="I480" s="9">
        <v>0</v>
      </c>
      <c r="J480" s="9">
        <v>0</v>
      </c>
      <c r="K480" s="9">
        <v>0</v>
      </c>
      <c r="L480" s="9">
        <v>0</v>
      </c>
      <c r="N480" s="8">
        <v>0</v>
      </c>
      <c r="O480" s="8">
        <v>0</v>
      </c>
      <c r="P480" s="8">
        <v>0</v>
      </c>
      <c r="Q480" s="8">
        <v>0</v>
      </c>
      <c r="R480" s="8">
        <v>0</v>
      </c>
      <c r="T480" s="12">
        <v>0</v>
      </c>
    </row>
    <row r="481" spans="1:20">
      <c r="A481" s="4" t="s">
        <v>60</v>
      </c>
      <c r="B481" s="9">
        <v>75</v>
      </c>
      <c r="C481" s="9">
        <v>78</v>
      </c>
      <c r="D481" s="9">
        <v>81.12</v>
      </c>
      <c r="E481" s="9">
        <v>84.3648</v>
      </c>
      <c r="F481" s="9">
        <v>87.73939200000001</v>
      </c>
      <c r="H481" s="9">
        <v>0</v>
      </c>
      <c r="I481" s="9">
        <v>0</v>
      </c>
      <c r="J481" s="9">
        <v>0</v>
      </c>
      <c r="K481" s="9">
        <v>0</v>
      </c>
      <c r="L481" s="9">
        <v>0</v>
      </c>
      <c r="N481" s="8">
        <v>0</v>
      </c>
      <c r="O481" s="8">
        <v>0</v>
      </c>
      <c r="P481" s="8">
        <v>0</v>
      </c>
      <c r="Q481" s="8">
        <v>0</v>
      </c>
      <c r="R481" s="8">
        <v>0</v>
      </c>
      <c r="T481" s="12">
        <v>0</v>
      </c>
    </row>
    <row r="482" spans="1:20">
      <c r="A482" s="4" t="s">
        <v>63</v>
      </c>
      <c r="B482" s="9">
        <v>16</v>
      </c>
      <c r="C482" s="9">
        <v>16.16</v>
      </c>
      <c r="D482" s="9">
        <v>16.3216</v>
      </c>
      <c r="E482" s="9">
        <v>16.484816</v>
      </c>
      <c r="F482" s="9">
        <v>16.64966416</v>
      </c>
      <c r="H482" s="9">
        <v>0</v>
      </c>
      <c r="I482" s="9">
        <v>0</v>
      </c>
      <c r="J482" s="9">
        <v>0</v>
      </c>
      <c r="K482" s="9">
        <v>0</v>
      </c>
      <c r="L482" s="9">
        <v>0</v>
      </c>
      <c r="N482" s="8">
        <v>0</v>
      </c>
      <c r="O482" s="8">
        <v>0</v>
      </c>
      <c r="P482" s="8">
        <v>0</v>
      </c>
      <c r="Q482" s="8">
        <v>0</v>
      </c>
      <c r="R482" s="8">
        <v>0</v>
      </c>
      <c r="T482" s="12">
        <v>0</v>
      </c>
    </row>
    <row r="483" spans="1:20">
      <c r="A483" s="4" t="s">
        <v>66</v>
      </c>
      <c r="B483" s="9">
        <v>13.6</v>
      </c>
      <c r="C483" s="9">
        <v>14.144</v>
      </c>
      <c r="D483" s="9">
        <v>14.70976</v>
      </c>
      <c r="E483" s="9">
        <v>15.2981504</v>
      </c>
      <c r="F483" s="9">
        <v>15.910076416</v>
      </c>
      <c r="H483" s="9">
        <v>0</v>
      </c>
      <c r="I483" s="9">
        <v>0</v>
      </c>
      <c r="J483" s="9">
        <v>0</v>
      </c>
      <c r="K483" s="9">
        <v>0</v>
      </c>
      <c r="L483" s="9">
        <v>0</v>
      </c>
      <c r="N483" s="8">
        <v>0</v>
      </c>
      <c r="O483" s="8">
        <v>0</v>
      </c>
      <c r="P483" s="8">
        <v>0</v>
      </c>
      <c r="Q483" s="8">
        <v>0</v>
      </c>
      <c r="R483" s="8">
        <v>0</v>
      </c>
      <c r="T483" s="12">
        <v>0</v>
      </c>
    </row>
    <row r="486" spans="1:20">
      <c r="A486" s="3" t="s">
        <v>671</v>
      </c>
      <c r="B486" s="4" t="s">
        <v>619</v>
      </c>
      <c r="C486" s="8">
        <f>FN.MAXDEV(Assumpt_deleverage, Assumpt_deleverageExp)</f>
        <v>0</v>
      </c>
      <c r="D486" s="12">
        <f>IF(FN.MAXDEV(Assumpt_deleverage, Assumpt_deleverageExp) &lt;= Tol, "PASS", "FAIL")</f>
        <v/>
      </c>
    </row>
    <row r="487" spans="1:20">
      <c r="A487" s="3" t="s">
        <v>5</v>
      </c>
      <c r="B487" s="3" t="s">
        <v>672</v>
      </c>
      <c r="D487" s="3" t="s">
        <v>673</v>
      </c>
      <c r="F487" s="3" t="s">
        <v>674</v>
      </c>
      <c r="H487" s="3" t="s">
        <v>635</v>
      </c>
    </row>
    <row r="488" spans="1:20">
      <c r="A488" s="4" t="s">
        <v>26</v>
      </c>
      <c r="B488" s="9">
        <v>196000</v>
      </c>
      <c r="D488" s="9" cm="1">
        <f t="array" ref="D488:D518">Assumpt_deleverage</f>
        <v>0</v>
      </c>
      <c r="F488" s="8" cm="1">
        <f t="array" ref="F488:F518">FN.DEV(Assumpt_deleverage, Assumpt_deleverageExp)</f>
        <v>0</v>
      </c>
      <c r="H488" s="12" cm="1">
        <f t="array" ref="H488:H518">_xlfn.BYROW(FN.DEV(Assumpt_deleverage, Assumpt_deleverageExp), _xlfn.LAMBDA(_xlpm.dev_row, IF(MAX(_xlpm.dev_row) &lt;= Tol, "PASS", "FAIL")))</f>
        <v>0</v>
      </c>
    </row>
    <row r="489" spans="1:20">
      <c r="A489" s="4" t="s">
        <v>27</v>
      </c>
      <c r="B489" s="9">
        <v>0.05</v>
      </c>
      <c r="D489" s="9">
        <v>0</v>
      </c>
      <c r="F489" s="8">
        <v>0</v>
      </c>
      <c r="H489" s="12">
        <v>0</v>
      </c>
    </row>
    <row r="490" spans="1:20">
      <c r="A490" s="4" t="s">
        <v>28</v>
      </c>
      <c r="B490" s="9">
        <v>0.1</v>
      </c>
      <c r="D490" s="9">
        <v>0</v>
      </c>
      <c r="F490" s="8">
        <v>0</v>
      </c>
      <c r="H490" s="12">
        <v>0</v>
      </c>
    </row>
    <row r="491" spans="1:20">
      <c r="A491" s="4" t="s">
        <v>29</v>
      </c>
      <c r="B491" s="9">
        <v>0.04</v>
      </c>
      <c r="D491" s="9">
        <v>0</v>
      </c>
      <c r="F491" s="8">
        <v>0</v>
      </c>
      <c r="H491" s="12">
        <v>0</v>
      </c>
    </row>
    <row r="492" spans="1:20">
      <c r="A492" s="4" t="s">
        <v>30</v>
      </c>
      <c r="B492" s="9">
        <v>0.01</v>
      </c>
      <c r="D492" s="9">
        <v>0</v>
      </c>
      <c r="F492" s="8">
        <v>0</v>
      </c>
      <c r="H492" s="12">
        <v>0</v>
      </c>
    </row>
    <row r="493" spans="1:20">
      <c r="A493" s="4" t="s">
        <v>31</v>
      </c>
      <c r="B493" s="9">
        <v>0.04</v>
      </c>
      <c r="D493" s="9">
        <v>0</v>
      </c>
      <c r="F493" s="8">
        <v>0</v>
      </c>
      <c r="H493" s="12">
        <v>0</v>
      </c>
    </row>
    <row r="494" spans="1:20">
      <c r="A494" s="4" t="s">
        <v>32</v>
      </c>
      <c r="B494" s="9">
        <v>0.15</v>
      </c>
      <c r="D494" s="9">
        <v>0</v>
      </c>
      <c r="F494" s="8">
        <v>0</v>
      </c>
      <c r="H494" s="12">
        <v>0</v>
      </c>
    </row>
    <row r="495" spans="1:20">
      <c r="A495" s="4" t="s">
        <v>33</v>
      </c>
      <c r="B495" s="9">
        <v>0.18</v>
      </c>
      <c r="D495" s="9">
        <v>0</v>
      </c>
      <c r="F495" s="8">
        <v>0</v>
      </c>
      <c r="H495" s="12">
        <v>0</v>
      </c>
    </row>
    <row r="496" spans="1:20">
      <c r="A496" s="4" t="s">
        <v>34</v>
      </c>
      <c r="B496" s="9">
        <v>30</v>
      </c>
      <c r="D496" s="9">
        <v>0</v>
      </c>
      <c r="F496" s="8">
        <v>0</v>
      </c>
      <c r="H496" s="12">
        <v>0</v>
      </c>
    </row>
    <row r="497" spans="1:8">
      <c r="A497" s="4" t="s">
        <v>35</v>
      </c>
      <c r="B497" s="9">
        <v>60</v>
      </c>
      <c r="D497" s="9">
        <v>0</v>
      </c>
      <c r="F497" s="8">
        <v>0</v>
      </c>
      <c r="H497" s="12">
        <v>0</v>
      </c>
    </row>
    <row r="498" spans="1:8">
      <c r="A498" s="4" t="s">
        <v>36</v>
      </c>
      <c r="B498" s="9">
        <v>30</v>
      </c>
      <c r="D498" s="9">
        <v>0</v>
      </c>
      <c r="F498" s="8">
        <v>0</v>
      </c>
      <c r="H498" s="12">
        <v>0</v>
      </c>
    </row>
    <row r="499" spans="1:8">
      <c r="A499" s="4" t="s">
        <v>37</v>
      </c>
      <c r="B499" s="9">
        <v>45</v>
      </c>
      <c r="D499" s="9">
        <v>0</v>
      </c>
      <c r="F499" s="8">
        <v>0</v>
      </c>
      <c r="H499" s="12">
        <v>0</v>
      </c>
    </row>
    <row r="500" spans="1:8">
      <c r="A500" s="4" t="s">
        <v>38</v>
      </c>
      <c r="B500" s="9">
        <v>15</v>
      </c>
      <c r="D500" s="9">
        <v>0</v>
      </c>
      <c r="F500" s="8">
        <v>0</v>
      </c>
      <c r="H500" s="12">
        <v>0</v>
      </c>
    </row>
    <row r="501" spans="1:8">
      <c r="A501" s="4" t="s">
        <v>39</v>
      </c>
      <c r="B501" s="9">
        <v>45</v>
      </c>
      <c r="D501" s="9">
        <v>0</v>
      </c>
      <c r="F501" s="8">
        <v>0</v>
      </c>
      <c r="H501" s="12">
        <v>0</v>
      </c>
    </row>
    <row r="502" spans="1:8">
      <c r="A502" s="4" t="s">
        <v>40</v>
      </c>
      <c r="B502" s="9">
        <v>50000</v>
      </c>
      <c r="D502" s="9">
        <v>0</v>
      </c>
      <c r="F502" s="8">
        <v>0</v>
      </c>
      <c r="H502" s="12">
        <v>0</v>
      </c>
    </row>
    <row r="503" spans="1:8">
      <c r="A503" s="4" t="s">
        <v>41</v>
      </c>
      <c r="B503" s="9">
        <v>0.1</v>
      </c>
      <c r="D503" s="9">
        <v>0</v>
      </c>
      <c r="F503" s="8">
        <v>0</v>
      </c>
      <c r="H503" s="12">
        <v>0</v>
      </c>
    </row>
    <row r="504" spans="1:8">
      <c r="A504" s="4" t="s">
        <v>42</v>
      </c>
      <c r="B504" s="9">
        <v>0.9</v>
      </c>
      <c r="D504" s="9">
        <v>0</v>
      </c>
      <c r="F504" s="8">
        <v>0</v>
      </c>
      <c r="H504" s="12">
        <v>0</v>
      </c>
    </row>
    <row r="505" spans="1:8">
      <c r="A505" s="4" t="s">
        <v>43</v>
      </c>
      <c r="B505" s="9">
        <v>16500</v>
      </c>
      <c r="D505" s="9">
        <v>0</v>
      </c>
      <c r="F505" s="8">
        <v>0</v>
      </c>
      <c r="H505" s="12">
        <v>0</v>
      </c>
    </row>
    <row r="506" spans="1:8">
      <c r="A506" s="4" t="s">
        <v>44</v>
      </c>
      <c r="B506" s="9">
        <v>1000</v>
      </c>
      <c r="D506" s="9">
        <v>0</v>
      </c>
      <c r="F506" s="8">
        <v>0</v>
      </c>
      <c r="H506" s="12">
        <v>0</v>
      </c>
    </row>
    <row r="507" spans="1:8">
      <c r="A507" s="4" t="s">
        <v>45</v>
      </c>
      <c r="B507" s="9">
        <v>10000</v>
      </c>
      <c r="D507" s="9">
        <v>0</v>
      </c>
      <c r="F507" s="8">
        <v>0</v>
      </c>
      <c r="H507" s="12">
        <v>0</v>
      </c>
    </row>
    <row r="508" spans="1:8">
      <c r="A508" s="4" t="s">
        <v>46</v>
      </c>
      <c r="B508" s="9">
        <v>75000</v>
      </c>
      <c r="D508" s="9">
        <v>0</v>
      </c>
      <c r="F508" s="8">
        <v>0</v>
      </c>
      <c r="H508" s="12">
        <v>0</v>
      </c>
    </row>
    <row r="509" spans="1:8">
      <c r="A509" s="4" t="s">
        <v>47</v>
      </c>
      <c r="B509" s="9">
        <v>-16000</v>
      </c>
      <c r="D509" s="9">
        <v>0</v>
      </c>
      <c r="F509" s="8">
        <v>0</v>
      </c>
      <c r="H509" s="12">
        <v>0</v>
      </c>
    </row>
    <row r="510" spans="1:8">
      <c r="A510" s="4" t="s">
        <v>48</v>
      </c>
      <c r="B510" s="9">
        <v>-13600</v>
      </c>
      <c r="D510" s="9">
        <v>0</v>
      </c>
      <c r="F510" s="8">
        <v>0</v>
      </c>
      <c r="H510" s="12">
        <v>0</v>
      </c>
    </row>
    <row r="511" spans="1:8">
      <c r="A511" s="4" t="s">
        <v>49</v>
      </c>
      <c r="B511" s="9">
        <v>-9800</v>
      </c>
      <c r="D511" s="9">
        <v>0</v>
      </c>
      <c r="F511" s="8">
        <v>0</v>
      </c>
      <c r="H511" s="12">
        <v>0</v>
      </c>
    </row>
    <row r="512" spans="1:8">
      <c r="A512" s="4" t="s">
        <v>50</v>
      </c>
      <c r="B512" s="9">
        <v>-16500</v>
      </c>
      <c r="D512" s="9">
        <v>0</v>
      </c>
      <c r="F512" s="8">
        <v>0</v>
      </c>
      <c r="H512" s="12">
        <v>0</v>
      </c>
    </row>
    <row r="513" spans="1:8">
      <c r="A513" s="4" t="s">
        <v>51</v>
      </c>
      <c r="B513" s="9">
        <v>-4580</v>
      </c>
      <c r="D513" s="9">
        <v>0</v>
      </c>
      <c r="F513" s="8">
        <v>0</v>
      </c>
      <c r="H513" s="12">
        <v>0</v>
      </c>
    </row>
    <row r="514" spans="1:8">
      <c r="A514" s="4" t="s">
        <v>52</v>
      </c>
      <c r="B514" s="9">
        <v>-1380</v>
      </c>
      <c r="D514" s="9">
        <v>0</v>
      </c>
      <c r="F514" s="8">
        <v>0</v>
      </c>
      <c r="H514" s="12">
        <v>0</v>
      </c>
    </row>
    <row r="515" spans="1:8">
      <c r="A515" s="4" t="s">
        <v>57</v>
      </c>
      <c r="B515" s="9">
        <v>0.1</v>
      </c>
      <c r="D515" s="9">
        <v>0</v>
      </c>
      <c r="F515" s="8">
        <v>0</v>
      </c>
      <c r="H515" s="12">
        <v>0</v>
      </c>
    </row>
    <row r="516" spans="1:8">
      <c r="A516" s="4" t="s">
        <v>60</v>
      </c>
      <c r="B516" s="9">
        <v>75</v>
      </c>
      <c r="D516" s="9">
        <v>0</v>
      </c>
      <c r="F516" s="8">
        <v>0</v>
      </c>
      <c r="H516" s="12">
        <v>0</v>
      </c>
    </row>
    <row r="517" spans="1:8">
      <c r="A517" s="4" t="s">
        <v>63</v>
      </c>
      <c r="B517" s="9">
        <v>16</v>
      </c>
      <c r="D517" s="9">
        <v>0</v>
      </c>
      <c r="F517" s="8">
        <v>0</v>
      </c>
      <c r="H517" s="12">
        <v>0</v>
      </c>
    </row>
    <row r="518" spans="1:8">
      <c r="A518" s="4" t="s">
        <v>66</v>
      </c>
      <c r="B518" s="9">
        <v>13.6</v>
      </c>
      <c r="D518" s="9">
        <v>0</v>
      </c>
      <c r="F518" s="8">
        <v>0</v>
      </c>
      <c r="H518" s="12">
        <v>0</v>
      </c>
    </row>
    <row r="521" spans="1:8">
      <c r="A521" s="3" t="s">
        <v>675</v>
      </c>
      <c r="B521" s="4" t="s">
        <v>619</v>
      </c>
      <c r="C521" s="8">
        <f>FN.MAXDEV(Rates_deleverage, Rates_deleverageExp)</f>
        <v>0</v>
      </c>
      <c r="D521" s="12">
        <f>IF(FN.MAXDEV(Rates_deleverage, Rates_deleverageExp) &lt;= Tol, "PASS", "FAIL")</f>
        <v/>
      </c>
    </row>
    <row r="522" spans="1:8">
      <c r="A522" s="3" t="s">
        <v>5</v>
      </c>
      <c r="B522" s="3" t="s">
        <v>672</v>
      </c>
      <c r="D522" s="3" t="s">
        <v>673</v>
      </c>
      <c r="F522" s="3" t="s">
        <v>674</v>
      </c>
      <c r="H522" s="3" t="s">
        <v>635</v>
      </c>
    </row>
    <row r="523" spans="1:8">
      <c r="A523" s="4" t="s">
        <v>88</v>
      </c>
      <c r="B523" s="9">
        <v>0.08</v>
      </c>
      <c r="D523" s="9" cm="1">
        <f t="array" ref="D523:D527">Rates_deleverage</f>
        <v>0</v>
      </c>
      <c r="F523" s="8" cm="1">
        <f t="array" ref="F523:F527">FN.DEV(Rates_deleverage, Rates_deleverageExp)</f>
        <v>0</v>
      </c>
      <c r="H523" s="12" cm="1">
        <f t="array" ref="H523:H527">_xlfn.BYROW(FN.DEV(Rates_deleverage, Rates_deleverageExp), _xlfn.LAMBDA(_xlpm.dev_row, IF(MAX(_xlpm.dev_row) &lt;= Tol, "PASS", "FAIL")))</f>
        <v>0</v>
      </c>
    </row>
    <row r="524" spans="1:8">
      <c r="A524" s="4" t="s">
        <v>89</v>
      </c>
      <c r="B524" s="9">
        <v>0.0444</v>
      </c>
      <c r="D524" s="9">
        <v>0</v>
      </c>
      <c r="F524" s="8">
        <v>0</v>
      </c>
      <c r="H524" s="12">
        <v>0</v>
      </c>
    </row>
    <row r="525" spans="1:8">
      <c r="A525" s="4" t="s">
        <v>90</v>
      </c>
      <c r="B525" s="9">
        <v>0.35</v>
      </c>
      <c r="D525" s="9">
        <v>0</v>
      </c>
      <c r="F525" s="8">
        <v>0</v>
      </c>
      <c r="H525" s="12">
        <v>0</v>
      </c>
    </row>
    <row r="526" spans="1:8">
      <c r="A526" s="4" t="s">
        <v>91</v>
      </c>
      <c r="B526" s="9">
        <v>0.02</v>
      </c>
      <c r="D526" s="9">
        <v>0</v>
      </c>
      <c r="F526" s="8">
        <v>0</v>
      </c>
      <c r="H526" s="12">
        <v>0</v>
      </c>
    </row>
    <row r="527" spans="1:8">
      <c r="A527" s="4" t="s">
        <v>92</v>
      </c>
      <c r="B527" s="9">
        <v>1</v>
      </c>
      <c r="D527" s="9">
        <v>0</v>
      </c>
      <c r="F527" s="8">
        <v>0</v>
      </c>
      <c r="H527" s="12">
        <v>0</v>
      </c>
    </row>
    <row r="530" spans="1:20">
      <c r="A530" s="3" t="s">
        <v>676</v>
      </c>
      <c r="B530" s="4" t="s">
        <v>619</v>
      </c>
      <c r="C530" s="8">
        <f>FN.MAXDEV(FinDebt_deleverage, FinDebt_deleverageExp)</f>
        <v>0</v>
      </c>
      <c r="D530" s="12">
        <f>IF(FN.MAXDEV(FinDebt_deleverage, FinDebt_deleverageExp) &lt;= Tol, "PASS", "FAIL")</f>
        <v/>
      </c>
    </row>
    <row r="531" spans="1:20">
      <c r="A531" s="3" t="s">
        <v>5</v>
      </c>
      <c r="B531" s="3" t="s">
        <v>620</v>
      </c>
      <c r="C531" s="3" t="s">
        <v>623</v>
      </c>
      <c r="D531" s="3" t="s">
        <v>626</v>
      </c>
      <c r="E531" s="3" t="s">
        <v>629</v>
      </c>
      <c r="F531" s="3" t="s">
        <v>632</v>
      </c>
      <c r="H531" s="3" t="s">
        <v>621</v>
      </c>
      <c r="I531" s="3" t="s">
        <v>624</v>
      </c>
      <c r="J531" s="3" t="s">
        <v>627</v>
      </c>
      <c r="K531" s="3" t="s">
        <v>630</v>
      </c>
      <c r="L531" s="3" t="s">
        <v>633</v>
      </c>
      <c r="N531" s="3" t="s">
        <v>622</v>
      </c>
      <c r="O531" s="3" t="s">
        <v>625</v>
      </c>
      <c r="P531" s="3" t="s">
        <v>628</v>
      </c>
      <c r="Q531" s="3" t="s">
        <v>631</v>
      </c>
      <c r="R531" s="3" t="s">
        <v>634</v>
      </c>
      <c r="T531" s="3" t="s">
        <v>635</v>
      </c>
    </row>
    <row r="532" spans="1:20">
      <c r="A532" s="4" t="s">
        <v>130</v>
      </c>
      <c r="B532" s="9">
        <v>90000</v>
      </c>
      <c r="C532" s="9">
        <v>70000</v>
      </c>
      <c r="D532" s="9">
        <v>50000</v>
      </c>
      <c r="E532" s="9">
        <v>30000</v>
      </c>
      <c r="F532" s="9">
        <v>10000</v>
      </c>
      <c r="H532" s="9" cm="1">
        <f t="array" ref="H532:L533">FinDebt_deleverage</f>
        <v>0</v>
      </c>
      <c r="I532" s="9">
        <v>0</v>
      </c>
      <c r="J532" s="9">
        <v>0</v>
      </c>
      <c r="K532" s="9">
        <v>0</v>
      </c>
      <c r="L532" s="9">
        <v>0</v>
      </c>
      <c r="N532" s="8" cm="1">
        <f t="array" ref="N532:R533">FN.DEV(FinDebt_deleverage, FinDebt_deleverageExp)</f>
        <v>0</v>
      </c>
      <c r="O532" s="8">
        <v>0</v>
      </c>
      <c r="P532" s="8">
        <v>0</v>
      </c>
      <c r="Q532" s="8">
        <v>0</v>
      </c>
      <c r="R532" s="8">
        <v>0</v>
      </c>
      <c r="T532" s="12" cm="1">
        <f t="array" ref="T532:T533">_xlfn.BYROW(FN.DEV(FinDebt_deleverage, FinDebt_deleverageExp), _xlfn.LAMBDA(_xlpm.dev_row, IF(MAX(_xlpm.dev_row) &lt;= Tol, "PASS", "FAIL")))</f>
        <v>0</v>
      </c>
    </row>
    <row r="533" spans="1:20">
      <c r="A533" s="4" t="s">
        <v>132</v>
      </c>
      <c r="B533" s="9">
        <f>NA()</f>
        <v>0</v>
      </c>
      <c r="C533" s="9">
        <v>3996</v>
      </c>
      <c r="D533" s="9">
        <v>3108</v>
      </c>
      <c r="E533" s="9">
        <v>2220</v>
      </c>
      <c r="F533" s="9">
        <v>1332</v>
      </c>
      <c r="H533" s="9">
        <v>0</v>
      </c>
      <c r="I533" s="9">
        <v>0</v>
      </c>
      <c r="J533" s="9">
        <v>0</v>
      </c>
      <c r="K533" s="9">
        <v>0</v>
      </c>
      <c r="L533" s="9">
        <v>0</v>
      </c>
      <c r="N533" s="8">
        <v>0</v>
      </c>
      <c r="O533" s="8">
        <v>0</v>
      </c>
      <c r="P533" s="8">
        <v>0</v>
      </c>
      <c r="Q533" s="8">
        <v>0</v>
      </c>
      <c r="R533" s="8">
        <v>0</v>
      </c>
      <c r="T533" s="12">
        <v>0</v>
      </c>
    </row>
    <row r="536" spans="1:20">
      <c r="A536" s="3" t="s">
        <v>677</v>
      </c>
      <c r="B536" s="4" t="s">
        <v>619</v>
      </c>
      <c r="C536" s="8">
        <f>FN.MAXDEV(IS_deleverage, IS_deleverageExp)</f>
        <v>0</v>
      </c>
      <c r="D536" s="12">
        <f>IF(FN.MAXDEV(IS_deleverage, IS_deleverageExp) &lt;= Tol, "PASS", "FAIL")</f>
        <v/>
      </c>
    </row>
    <row r="537" spans="1:20">
      <c r="A537" s="3" t="s">
        <v>5</v>
      </c>
      <c r="B537" s="3" t="s">
        <v>620</v>
      </c>
      <c r="C537" s="3" t="s">
        <v>623</v>
      </c>
      <c r="D537" s="3" t="s">
        <v>626</v>
      </c>
      <c r="E537" s="3" t="s">
        <v>629</v>
      </c>
      <c r="F537" s="3" t="s">
        <v>632</v>
      </c>
      <c r="H537" s="3" t="s">
        <v>621</v>
      </c>
      <c r="I537" s="3" t="s">
        <v>624</v>
      </c>
      <c r="J537" s="3" t="s">
        <v>627</v>
      </c>
      <c r="K537" s="3" t="s">
        <v>630</v>
      </c>
      <c r="L537" s="3" t="s">
        <v>633</v>
      </c>
      <c r="N537" s="3" t="s">
        <v>622</v>
      </c>
      <c r="O537" s="3" t="s">
        <v>625</v>
      </c>
      <c r="P537" s="3" t="s">
        <v>628</v>
      </c>
      <c r="Q537" s="3" t="s">
        <v>631</v>
      </c>
      <c r="R537" s="3" t="s">
        <v>634</v>
      </c>
      <c r="T537" s="3" t="s">
        <v>635</v>
      </c>
    </row>
    <row r="538" spans="1:20">
      <c r="A538" s="4" t="s">
        <v>71</v>
      </c>
      <c r="B538" s="9">
        <v>75000</v>
      </c>
      <c r="C538" s="9">
        <v>90090.00000000001</v>
      </c>
      <c r="D538" s="9">
        <v>108216.108</v>
      </c>
      <c r="E538" s="9">
        <v>129989.1889296</v>
      </c>
      <c r="F538" s="9">
        <v>156143.0137422356</v>
      </c>
      <c r="H538" s="9" cm="1">
        <f t="array" ref="H538:L553">IS_deleverage</f>
        <v>0</v>
      </c>
      <c r="I538" s="9">
        <v>0</v>
      </c>
      <c r="J538" s="9">
        <v>0</v>
      </c>
      <c r="K538" s="9">
        <v>0</v>
      </c>
      <c r="L538" s="9">
        <v>0</v>
      </c>
      <c r="N538" s="8" cm="1">
        <f t="array" ref="N538:R553">FN.DEV(IS_deleverage, IS_deleverageExp)</f>
        <v>0</v>
      </c>
      <c r="O538" s="8">
        <v>0</v>
      </c>
      <c r="P538" s="8">
        <v>0</v>
      </c>
      <c r="Q538" s="8">
        <v>0</v>
      </c>
      <c r="R538" s="8">
        <v>0</v>
      </c>
      <c r="T538" s="12" cm="1">
        <f t="array" ref="T538:T553">_xlfn.BYROW(FN.DEV(IS_deleverage, IS_deleverageExp), _xlfn.LAMBDA(_xlpm.dev_row, IF(MAX(_xlpm.dev_row) &lt;= Tol, "PASS", "FAIL")))</f>
        <v>0</v>
      </c>
    </row>
    <row r="539" spans="1:20">
      <c r="A539" s="4" t="s">
        <v>72</v>
      </c>
      <c r="B539" s="9">
        <v>-16000</v>
      </c>
      <c r="C539" s="9">
        <v>-18664.8</v>
      </c>
      <c r="D539" s="9">
        <v>-21773.42244000001</v>
      </c>
      <c r="E539" s="9">
        <v>-25399.785947382</v>
      </c>
      <c r="F539" s="9">
        <v>-29630.12029691848</v>
      </c>
      <c r="H539" s="9">
        <v>0</v>
      </c>
      <c r="I539" s="9">
        <v>0</v>
      </c>
      <c r="J539" s="9">
        <v>0</v>
      </c>
      <c r="K539" s="9">
        <v>0</v>
      </c>
      <c r="L539" s="9">
        <v>0</v>
      </c>
      <c r="N539" s="8">
        <v>0</v>
      </c>
      <c r="O539" s="8">
        <v>0</v>
      </c>
      <c r="P539" s="8">
        <v>0</v>
      </c>
      <c r="Q539" s="8">
        <v>0</v>
      </c>
      <c r="R539" s="8">
        <v>0</v>
      </c>
      <c r="T539" s="12">
        <v>0</v>
      </c>
    </row>
    <row r="540" spans="1:20">
      <c r="A540" s="4" t="s">
        <v>73</v>
      </c>
      <c r="B540" s="9">
        <v>-13600</v>
      </c>
      <c r="C540" s="9">
        <v>-16336.32</v>
      </c>
      <c r="D540" s="9">
        <v>-19623.18758400001</v>
      </c>
      <c r="E540" s="9">
        <v>-23571.3729259008</v>
      </c>
      <c r="F540" s="9">
        <v>-28313.93315859205</v>
      </c>
      <c r="H540" s="9">
        <v>0</v>
      </c>
      <c r="I540" s="9">
        <v>0</v>
      </c>
      <c r="J540" s="9">
        <v>0</v>
      </c>
      <c r="K540" s="9">
        <v>0</v>
      </c>
      <c r="L540" s="9">
        <v>0</v>
      </c>
      <c r="N540" s="8">
        <v>0</v>
      </c>
      <c r="O540" s="8">
        <v>0</v>
      </c>
      <c r="P540" s="8">
        <v>0</v>
      </c>
      <c r="Q540" s="8">
        <v>0</v>
      </c>
      <c r="R540" s="8">
        <v>0</v>
      </c>
      <c r="T540" s="12">
        <v>0</v>
      </c>
    </row>
    <row r="541" spans="1:20">
      <c r="A541" s="4" t="s">
        <v>145</v>
      </c>
      <c r="B541" s="9">
        <v>45400</v>
      </c>
      <c r="C541" s="9">
        <v>55088.88</v>
      </c>
      <c r="D541" s="9">
        <v>66819.49797600001</v>
      </c>
      <c r="E541" s="9">
        <v>81018.03005631722</v>
      </c>
      <c r="F541" s="9">
        <v>98198.96028672505</v>
      </c>
      <c r="H541" s="9">
        <v>0</v>
      </c>
      <c r="I541" s="9">
        <v>0</v>
      </c>
      <c r="J541" s="9">
        <v>0</v>
      </c>
      <c r="K541" s="9">
        <v>0</v>
      </c>
      <c r="L541" s="9">
        <v>0</v>
      </c>
      <c r="N541" s="8">
        <v>0</v>
      </c>
      <c r="O541" s="8">
        <v>0</v>
      </c>
      <c r="P541" s="8">
        <v>0</v>
      </c>
      <c r="Q541" s="8">
        <v>0</v>
      </c>
      <c r="R541" s="8">
        <v>0</v>
      </c>
      <c r="T541" s="12">
        <v>0</v>
      </c>
    </row>
    <row r="542" spans="1:20">
      <c r="A542" s="4" t="s">
        <v>74</v>
      </c>
      <c r="B542" s="9">
        <v>-9800</v>
      </c>
      <c r="C542" s="9">
        <v>-13513.5</v>
      </c>
      <c r="D542" s="9">
        <v>-16232.41620000001</v>
      </c>
      <c r="E542" s="9">
        <v>-19498.37833944</v>
      </c>
      <c r="F542" s="9">
        <v>-23421.45206133533</v>
      </c>
      <c r="H542" s="9">
        <v>0</v>
      </c>
      <c r="I542" s="9">
        <v>0</v>
      </c>
      <c r="J542" s="9">
        <v>0</v>
      </c>
      <c r="K542" s="9">
        <v>0</v>
      </c>
      <c r="L542" s="9">
        <v>0</v>
      </c>
      <c r="N542" s="8">
        <v>0</v>
      </c>
      <c r="O542" s="8">
        <v>0</v>
      </c>
      <c r="P542" s="8">
        <v>0</v>
      </c>
      <c r="Q542" s="8">
        <v>0</v>
      </c>
      <c r="R542" s="8">
        <v>0</v>
      </c>
      <c r="T542" s="12">
        <v>0</v>
      </c>
    </row>
    <row r="543" spans="1:20">
      <c r="A543" s="4" t="s">
        <v>75</v>
      </c>
      <c r="B543" s="9">
        <v>-16500</v>
      </c>
      <c r="C543" s="9">
        <v>-16216.2</v>
      </c>
      <c r="D543" s="9">
        <v>-19478.89944</v>
      </c>
      <c r="E543" s="9">
        <v>-23398.054007328</v>
      </c>
      <c r="F543" s="9">
        <v>-28105.7424736024</v>
      </c>
      <c r="H543" s="9">
        <v>0</v>
      </c>
      <c r="I543" s="9">
        <v>0</v>
      </c>
      <c r="J543" s="9">
        <v>0</v>
      </c>
      <c r="K543" s="9">
        <v>0</v>
      </c>
      <c r="L543" s="9">
        <v>0</v>
      </c>
      <c r="N543" s="8">
        <v>0</v>
      </c>
      <c r="O543" s="8">
        <v>0</v>
      </c>
      <c r="P543" s="8">
        <v>0</v>
      </c>
      <c r="Q543" s="8">
        <v>0</v>
      </c>
      <c r="R543" s="8">
        <v>0</v>
      </c>
      <c r="T543" s="12">
        <v>0</v>
      </c>
    </row>
    <row r="544" spans="1:20">
      <c r="A544" s="4" t="s">
        <v>149</v>
      </c>
      <c r="B544" s="9">
        <v>19100</v>
      </c>
      <c r="C544" s="9">
        <v>25359.18</v>
      </c>
      <c r="D544" s="9">
        <v>31108.182336</v>
      </c>
      <c r="E544" s="9">
        <v>38121.59770954921</v>
      </c>
      <c r="F544" s="9">
        <v>46671.76575178731</v>
      </c>
      <c r="H544" s="9">
        <v>0</v>
      </c>
      <c r="I544" s="9">
        <v>0</v>
      </c>
      <c r="J544" s="9">
        <v>0</v>
      </c>
      <c r="K544" s="9">
        <v>0</v>
      </c>
      <c r="L544" s="9">
        <v>0</v>
      </c>
      <c r="N544" s="8">
        <v>0</v>
      </c>
      <c r="O544" s="8">
        <v>0</v>
      </c>
      <c r="P544" s="8">
        <v>0</v>
      </c>
      <c r="Q544" s="8">
        <v>0</v>
      </c>
      <c r="R544" s="8">
        <v>0</v>
      </c>
      <c r="T544" s="12">
        <v>0</v>
      </c>
    </row>
    <row r="545" spans="1:20">
      <c r="A545" s="4" t="s">
        <v>76</v>
      </c>
      <c r="B545" s="9">
        <v>-4580</v>
      </c>
      <c r="C545" s="9">
        <v>-6358.100000000002</v>
      </c>
      <c r="D545" s="9">
        <v>-7353.639720000004</v>
      </c>
      <c r="E545" s="9">
        <v>-8577.853031664001</v>
      </c>
      <c r="F545" s="9">
        <v>-10073.9119616348</v>
      </c>
      <c r="H545" s="9">
        <v>0</v>
      </c>
      <c r="I545" s="9">
        <v>0</v>
      </c>
      <c r="J545" s="9">
        <v>0</v>
      </c>
      <c r="K545" s="9">
        <v>0</v>
      </c>
      <c r="L545" s="9">
        <v>0</v>
      </c>
      <c r="N545" s="8">
        <v>0</v>
      </c>
      <c r="O545" s="8">
        <v>0</v>
      </c>
      <c r="P545" s="8">
        <v>0</v>
      </c>
      <c r="Q545" s="8">
        <v>0</v>
      </c>
      <c r="R545" s="8">
        <v>0</v>
      </c>
      <c r="T545" s="12">
        <v>0</v>
      </c>
    </row>
    <row r="546" spans="1:20">
      <c r="A546" s="4" t="s">
        <v>152</v>
      </c>
      <c r="B546" s="9">
        <v>14520</v>
      </c>
      <c r="C546" s="9">
        <v>19001.08</v>
      </c>
      <c r="D546" s="9">
        <v>23754.542616</v>
      </c>
      <c r="E546" s="9">
        <v>29543.74467788521</v>
      </c>
      <c r="F546" s="9">
        <v>36597.85379015251</v>
      </c>
      <c r="H546" s="9">
        <v>0</v>
      </c>
      <c r="I546" s="9">
        <v>0</v>
      </c>
      <c r="J546" s="9">
        <v>0</v>
      </c>
      <c r="K546" s="9">
        <v>0</v>
      </c>
      <c r="L546" s="9">
        <v>0</v>
      </c>
      <c r="N546" s="8">
        <v>0</v>
      </c>
      <c r="O546" s="8">
        <v>0</v>
      </c>
      <c r="P546" s="8">
        <v>0</v>
      </c>
      <c r="Q546" s="8">
        <v>0</v>
      </c>
      <c r="R546" s="8">
        <v>0</v>
      </c>
      <c r="T546" s="12">
        <v>0</v>
      </c>
    </row>
    <row r="547" spans="1:20">
      <c r="A547" s="4" t="s">
        <v>154</v>
      </c>
      <c r="B547" s="9">
        <v>1380</v>
      </c>
      <c r="C547" s="9">
        <v>-3996</v>
      </c>
      <c r="D547" s="9">
        <v>-3108</v>
      </c>
      <c r="E547" s="9">
        <v>-2220</v>
      </c>
      <c r="F547" s="9">
        <v>-1332</v>
      </c>
      <c r="H547" s="9">
        <v>0</v>
      </c>
      <c r="I547" s="9">
        <v>0</v>
      </c>
      <c r="J547" s="9">
        <v>0</v>
      </c>
      <c r="K547" s="9">
        <v>0</v>
      </c>
      <c r="L547" s="9">
        <v>0</v>
      </c>
      <c r="N547" s="8">
        <v>0</v>
      </c>
      <c r="O547" s="8">
        <v>0</v>
      </c>
      <c r="P547" s="8">
        <v>0</v>
      </c>
      <c r="Q547" s="8">
        <v>0</v>
      </c>
      <c r="R547" s="8">
        <v>0</v>
      </c>
      <c r="T547" s="12">
        <v>0</v>
      </c>
    </row>
    <row r="548" spans="1:20">
      <c r="A548" s="4" t="s">
        <v>156</v>
      </c>
      <c r="B548" s="9">
        <v>0</v>
      </c>
      <c r="C548" s="9">
        <v>50.14696770122463</v>
      </c>
      <c r="D548" s="9">
        <v>0</v>
      </c>
      <c r="E548" s="9">
        <v>0</v>
      </c>
      <c r="F548" s="9">
        <v>0</v>
      </c>
      <c r="H548" s="9">
        <v>0</v>
      </c>
      <c r="I548" s="9">
        <v>0</v>
      </c>
      <c r="J548" s="9">
        <v>0</v>
      </c>
      <c r="K548" s="9">
        <v>0</v>
      </c>
      <c r="L548" s="9">
        <v>0</v>
      </c>
      <c r="N548" s="8">
        <v>0</v>
      </c>
      <c r="O548" s="8">
        <v>0</v>
      </c>
      <c r="P548" s="8">
        <v>0</v>
      </c>
      <c r="Q548" s="8">
        <v>0</v>
      </c>
      <c r="R548" s="8">
        <v>0</v>
      </c>
      <c r="T548" s="12">
        <v>0</v>
      </c>
    </row>
    <row r="549" spans="1:20">
      <c r="A549" s="4" t="s">
        <v>158</v>
      </c>
      <c r="B549" s="9">
        <v>0</v>
      </c>
      <c r="C549" s="9">
        <v>-225.833683779088</v>
      </c>
      <c r="D549" s="9">
        <v>-1724.802625124803</v>
      </c>
      <c r="E549" s="9">
        <v>-3408.281315304146</v>
      </c>
      <c r="F549" s="9">
        <v>-5057.841341387527</v>
      </c>
      <c r="H549" s="9">
        <v>0</v>
      </c>
      <c r="I549" s="9">
        <v>0</v>
      </c>
      <c r="J549" s="9">
        <v>0</v>
      </c>
      <c r="K549" s="9">
        <v>0</v>
      </c>
      <c r="L549" s="9">
        <v>0</v>
      </c>
      <c r="N549" s="8">
        <v>0</v>
      </c>
      <c r="O549" s="8">
        <v>0</v>
      </c>
      <c r="P549" s="8">
        <v>0</v>
      </c>
      <c r="Q549" s="8">
        <v>0</v>
      </c>
      <c r="R549" s="8">
        <v>0</v>
      </c>
      <c r="T549" s="12">
        <v>0</v>
      </c>
    </row>
    <row r="550" spans="1:20">
      <c r="A550" s="4" t="s">
        <v>160</v>
      </c>
      <c r="B550" s="9">
        <v>1380</v>
      </c>
      <c r="C550" s="9">
        <v>-4171.686716077864</v>
      </c>
      <c r="D550" s="9">
        <v>-4832.802625124803</v>
      </c>
      <c r="E550" s="9">
        <v>-5628.281315304146</v>
      </c>
      <c r="F550" s="9">
        <v>-6389.841341387527</v>
      </c>
      <c r="H550" s="9">
        <v>0</v>
      </c>
      <c r="I550" s="9">
        <v>0</v>
      </c>
      <c r="J550" s="9">
        <v>0</v>
      </c>
      <c r="K550" s="9">
        <v>0</v>
      </c>
      <c r="L550" s="9">
        <v>0</v>
      </c>
      <c r="N550" s="8">
        <v>0</v>
      </c>
      <c r="O550" s="8">
        <v>0</v>
      </c>
      <c r="P550" s="8">
        <v>0</v>
      </c>
      <c r="Q550" s="8">
        <v>0</v>
      </c>
      <c r="R550" s="8">
        <v>0</v>
      </c>
      <c r="T550" s="12">
        <v>0</v>
      </c>
    </row>
    <row r="551" spans="1:20">
      <c r="A551" s="4" t="s">
        <v>162</v>
      </c>
      <c r="B551" s="9">
        <v>15900</v>
      </c>
      <c r="C551" s="9">
        <v>14829.39328392213</v>
      </c>
      <c r="D551" s="9">
        <v>18921.7399908752</v>
      </c>
      <c r="E551" s="9">
        <v>23915.46336258106</v>
      </c>
      <c r="F551" s="9">
        <v>30208.01244876498</v>
      </c>
      <c r="H551" s="9">
        <v>0</v>
      </c>
      <c r="I551" s="9">
        <v>0</v>
      </c>
      <c r="J551" s="9">
        <v>0</v>
      </c>
      <c r="K551" s="9">
        <v>0</v>
      </c>
      <c r="L551" s="9">
        <v>0</v>
      </c>
      <c r="N551" s="8">
        <v>0</v>
      </c>
      <c r="O551" s="8">
        <v>0</v>
      </c>
      <c r="P551" s="8">
        <v>0</v>
      </c>
      <c r="Q551" s="8">
        <v>0</v>
      </c>
      <c r="R551" s="8">
        <v>0</v>
      </c>
      <c r="T551" s="12">
        <v>0</v>
      </c>
    </row>
    <row r="552" spans="1:20">
      <c r="A552" s="4" t="s">
        <v>164</v>
      </c>
      <c r="B552" s="9">
        <v>-5565</v>
      </c>
      <c r="C552" s="9">
        <v>-5190.287649372746</v>
      </c>
      <c r="D552" s="9">
        <v>-6622.608996806319</v>
      </c>
      <c r="E552" s="9">
        <v>-8370.412176903372</v>
      </c>
      <c r="F552" s="9">
        <v>-10572.80435706774</v>
      </c>
      <c r="H552" s="9">
        <v>0</v>
      </c>
      <c r="I552" s="9">
        <v>0</v>
      </c>
      <c r="J552" s="9">
        <v>0</v>
      </c>
      <c r="K552" s="9">
        <v>0</v>
      </c>
      <c r="L552" s="9">
        <v>0</v>
      </c>
      <c r="N552" s="8">
        <v>0</v>
      </c>
      <c r="O552" s="8">
        <v>0</v>
      </c>
      <c r="P552" s="8">
        <v>0</v>
      </c>
      <c r="Q552" s="8">
        <v>0</v>
      </c>
      <c r="R552" s="8">
        <v>0</v>
      </c>
      <c r="T552" s="12">
        <v>0</v>
      </c>
    </row>
    <row r="553" spans="1:20">
      <c r="A553" s="4" t="s">
        <v>166</v>
      </c>
      <c r="B553" s="9">
        <v>10335</v>
      </c>
      <c r="C553" s="9">
        <v>9639.105634549389</v>
      </c>
      <c r="D553" s="9">
        <v>12299.13099406888</v>
      </c>
      <c r="E553" s="9">
        <v>15545.05118567769</v>
      </c>
      <c r="F553" s="9">
        <v>19635.20809169723</v>
      </c>
      <c r="H553" s="9">
        <v>0</v>
      </c>
      <c r="I553" s="9">
        <v>0</v>
      </c>
      <c r="J553" s="9">
        <v>0</v>
      </c>
      <c r="K553" s="9">
        <v>0</v>
      </c>
      <c r="L553" s="9">
        <v>0</v>
      </c>
      <c r="N553" s="8">
        <v>0</v>
      </c>
      <c r="O553" s="8">
        <v>0</v>
      </c>
      <c r="P553" s="8">
        <v>0</v>
      </c>
      <c r="Q553" s="8">
        <v>0</v>
      </c>
      <c r="R553" s="8">
        <v>0</v>
      </c>
      <c r="T553" s="12">
        <v>0</v>
      </c>
    </row>
    <row r="556" spans="1:20">
      <c r="A556" s="3" t="s">
        <v>678</v>
      </c>
      <c r="B556" s="4" t="s">
        <v>619</v>
      </c>
      <c r="C556" s="8">
        <f>FN.MAXDEV(BS_deleverage, BS_deleverageExp)</f>
        <v>0</v>
      </c>
      <c r="D556" s="12">
        <f>IF(FN.MAXDEV(BS_deleverage, BS_deleverageExp) &lt;= Tol, "PASS", "FAIL")</f>
        <v/>
      </c>
    </row>
    <row r="557" spans="1:20">
      <c r="A557" s="3" t="s">
        <v>5</v>
      </c>
      <c r="B557" s="3" t="s">
        <v>620</v>
      </c>
      <c r="C557" s="3" t="s">
        <v>623</v>
      </c>
      <c r="D557" s="3" t="s">
        <v>626</v>
      </c>
      <c r="E557" s="3" t="s">
        <v>629</v>
      </c>
      <c r="F557" s="3" t="s">
        <v>632</v>
      </c>
      <c r="H557" s="3" t="s">
        <v>621</v>
      </c>
      <c r="I557" s="3" t="s">
        <v>624</v>
      </c>
      <c r="J557" s="3" t="s">
        <v>627</v>
      </c>
      <c r="K557" s="3" t="s">
        <v>630</v>
      </c>
      <c r="L557" s="3" t="s">
        <v>633</v>
      </c>
      <c r="N557" s="3" t="s">
        <v>622</v>
      </c>
      <c r="O557" s="3" t="s">
        <v>625</v>
      </c>
      <c r="P557" s="3" t="s">
        <v>628</v>
      </c>
      <c r="Q557" s="3" t="s">
        <v>631</v>
      </c>
      <c r="R557" s="3" t="s">
        <v>634</v>
      </c>
      <c r="T557" s="3" t="s">
        <v>635</v>
      </c>
    </row>
    <row r="558" spans="1:20">
      <c r="A558" s="4" t="s">
        <v>226</v>
      </c>
      <c r="B558" s="9">
        <v>12328.76712328767</v>
      </c>
      <c r="C558" s="9">
        <v>14809.31506849315</v>
      </c>
      <c r="D558" s="9">
        <v>17788.94926027398</v>
      </c>
      <c r="E558" s="9">
        <v>21368.0858514411</v>
      </c>
      <c r="F558" s="9">
        <v>25667.34472475106</v>
      </c>
      <c r="H558" s="9" cm="1">
        <f t="array" ref="H558:L578">BS_deleverage</f>
        <v>0</v>
      </c>
      <c r="I558" s="9">
        <v>0</v>
      </c>
      <c r="J558" s="9">
        <v>0</v>
      </c>
      <c r="K558" s="9">
        <v>0</v>
      </c>
      <c r="L558" s="9">
        <v>0</v>
      </c>
      <c r="N558" s="8" cm="1">
        <f t="array" ref="N558:R578">FN.DEV(BS_deleverage, BS_deleverageExp)</f>
        <v>0</v>
      </c>
      <c r="O558" s="8">
        <v>0</v>
      </c>
      <c r="P558" s="8">
        <v>0</v>
      </c>
      <c r="Q558" s="8">
        <v>0</v>
      </c>
      <c r="R558" s="8">
        <v>0</v>
      </c>
      <c r="T558" s="12" cm="1">
        <f t="array" ref="T558:T578">_xlfn.BYROW(FN.DEV(BS_deleverage, BS_deleverageExp), _xlfn.LAMBDA(_xlpm.dev_row, IF(MAX(_xlpm.dev_row) &lt;= Tol, "PASS", "FAIL")))</f>
        <v>0</v>
      </c>
    </row>
    <row r="559" spans="1:20">
      <c r="A559" s="4" t="s">
        <v>228</v>
      </c>
      <c r="B559" s="9">
        <v>1315.068493150685</v>
      </c>
      <c r="C559" s="9">
        <v>1534.093150684932</v>
      </c>
      <c r="D559" s="9">
        <v>1789.596364931507</v>
      </c>
      <c r="E559" s="9">
        <v>2087.653639510849</v>
      </c>
      <c r="F559" s="9">
        <v>2435.352353171382</v>
      </c>
      <c r="H559" s="9">
        <v>0</v>
      </c>
      <c r="I559" s="9">
        <v>0</v>
      </c>
      <c r="J559" s="9">
        <v>0</v>
      </c>
      <c r="K559" s="9">
        <v>0</v>
      </c>
      <c r="L559" s="9">
        <v>0</v>
      </c>
      <c r="N559" s="8">
        <v>0</v>
      </c>
      <c r="O559" s="8">
        <v>0</v>
      </c>
      <c r="P559" s="8">
        <v>0</v>
      </c>
      <c r="Q559" s="8">
        <v>0</v>
      </c>
      <c r="R559" s="8">
        <v>0</v>
      </c>
      <c r="T559" s="12">
        <v>0</v>
      </c>
    </row>
    <row r="560" spans="1:20">
      <c r="A560" s="4" t="s">
        <v>229</v>
      </c>
      <c r="B560" s="9">
        <v>3649.315068493151</v>
      </c>
      <c r="C560" s="9">
        <v>4315.206575342467</v>
      </c>
      <c r="D560" s="9">
        <v>5103.691646794522</v>
      </c>
      <c r="E560" s="9">
        <v>6037.540135062262</v>
      </c>
      <c r="F560" s="9">
        <v>7143.787412323216</v>
      </c>
      <c r="H560" s="9">
        <v>0</v>
      </c>
      <c r="I560" s="9">
        <v>0</v>
      </c>
      <c r="J560" s="9">
        <v>0</v>
      </c>
      <c r="K560" s="9">
        <v>0</v>
      </c>
      <c r="L560" s="9">
        <v>0</v>
      </c>
      <c r="N560" s="8">
        <v>0</v>
      </c>
      <c r="O560" s="8">
        <v>0</v>
      </c>
      <c r="P560" s="8">
        <v>0</v>
      </c>
      <c r="Q560" s="8">
        <v>0</v>
      </c>
      <c r="R560" s="8">
        <v>0</v>
      </c>
      <c r="T560" s="12">
        <v>0</v>
      </c>
    </row>
    <row r="561" spans="1:20">
      <c r="A561" s="4" t="s">
        <v>231</v>
      </c>
      <c r="B561" s="9">
        <v>-1236.986301369863</v>
      </c>
      <c r="C561" s="9">
        <v>-1337.774794520548</v>
      </c>
      <c r="D561" s="9">
        <v>-1606.935083178083</v>
      </c>
      <c r="E561" s="9">
        <v>-1930.250421913513</v>
      </c>
      <c r="F561" s="9">
        <v>-2318.616806802512</v>
      </c>
      <c r="H561" s="9">
        <v>0</v>
      </c>
      <c r="I561" s="9">
        <v>0</v>
      </c>
      <c r="J561" s="9">
        <v>0</v>
      </c>
      <c r="K561" s="9">
        <v>0</v>
      </c>
      <c r="L561" s="9">
        <v>0</v>
      </c>
      <c r="N561" s="8">
        <v>0</v>
      </c>
      <c r="O561" s="8">
        <v>0</v>
      </c>
      <c r="P561" s="8">
        <v>0</v>
      </c>
      <c r="Q561" s="8">
        <v>0</v>
      </c>
      <c r="R561" s="8">
        <v>0</v>
      </c>
      <c r="T561" s="12">
        <v>0</v>
      </c>
    </row>
    <row r="562" spans="1:20">
      <c r="A562" s="4" t="s">
        <v>233</v>
      </c>
      <c r="B562" s="9">
        <v>-3180.821917808219</v>
      </c>
      <c r="C562" s="9">
        <v>-3967.187671232877</v>
      </c>
      <c r="D562" s="9">
        <v>-4685.651339178084</v>
      </c>
      <c r="E562" s="9">
        <v>-5535.390117553397</v>
      </c>
      <c r="F562" s="9">
        <v>-6540.604811291566</v>
      </c>
      <c r="H562" s="9">
        <v>0</v>
      </c>
      <c r="I562" s="9">
        <v>0</v>
      </c>
      <c r="J562" s="9">
        <v>0</v>
      </c>
      <c r="K562" s="9">
        <v>0</v>
      </c>
      <c r="L562" s="9">
        <v>0</v>
      </c>
      <c r="N562" s="8">
        <v>0</v>
      </c>
      <c r="O562" s="8">
        <v>0</v>
      </c>
      <c r="P562" s="8">
        <v>0</v>
      </c>
      <c r="Q562" s="8">
        <v>0</v>
      </c>
      <c r="R562" s="8">
        <v>0</v>
      </c>
      <c r="T562" s="12">
        <v>0</v>
      </c>
    </row>
    <row r="563" spans="1:20">
      <c r="A563" s="4" t="s">
        <v>235</v>
      </c>
      <c r="B563" s="9">
        <v>6164.383561643835</v>
      </c>
      <c r="C563" s="9">
        <v>7404.657534246577</v>
      </c>
      <c r="D563" s="9">
        <v>8894.474630136989</v>
      </c>
      <c r="E563" s="9">
        <v>10684.04292572055</v>
      </c>
      <c r="F563" s="9">
        <v>12833.67236237553</v>
      </c>
      <c r="H563" s="9">
        <v>0</v>
      </c>
      <c r="I563" s="9">
        <v>0</v>
      </c>
      <c r="J563" s="9">
        <v>0</v>
      </c>
      <c r="K563" s="9">
        <v>0</v>
      </c>
      <c r="L563" s="9">
        <v>0</v>
      </c>
      <c r="N563" s="8">
        <v>0</v>
      </c>
      <c r="O563" s="8">
        <v>0</v>
      </c>
      <c r="P563" s="8">
        <v>0</v>
      </c>
      <c r="Q563" s="8">
        <v>0</v>
      </c>
      <c r="R563" s="8">
        <v>0</v>
      </c>
      <c r="T563" s="12">
        <v>0</v>
      </c>
    </row>
    <row r="564" spans="1:20">
      <c r="A564" s="4" t="s">
        <v>237</v>
      </c>
      <c r="B564" s="9">
        <v>19039.72602739726</v>
      </c>
      <c r="C564" s="9">
        <v>22758.3098630137</v>
      </c>
      <c r="D564" s="9">
        <v>27284.12547978083</v>
      </c>
      <c r="E564" s="9">
        <v>32711.68201226785</v>
      </c>
      <c r="F564" s="9">
        <v>39220.9352345271</v>
      </c>
      <c r="H564" s="9">
        <v>0</v>
      </c>
      <c r="I564" s="9">
        <v>0</v>
      </c>
      <c r="J564" s="9">
        <v>0</v>
      </c>
      <c r="K564" s="9">
        <v>0</v>
      </c>
      <c r="L564" s="9">
        <v>0</v>
      </c>
      <c r="N564" s="8">
        <v>0</v>
      </c>
      <c r="O564" s="8">
        <v>0</v>
      </c>
      <c r="P564" s="8">
        <v>0</v>
      </c>
      <c r="Q564" s="8">
        <v>0</v>
      </c>
      <c r="R564" s="8">
        <v>0</v>
      </c>
      <c r="T564" s="12">
        <v>0</v>
      </c>
    </row>
    <row r="565" spans="1:20">
      <c r="A565" s="4" t="s">
        <v>239</v>
      </c>
      <c r="B565" s="9">
        <v>0</v>
      </c>
      <c r="C565" s="9">
        <v>13581.00000000001</v>
      </c>
      <c r="D565" s="9">
        <v>16313.49720000002</v>
      </c>
      <c r="E565" s="9">
        <v>19595.77283663998</v>
      </c>
      <c r="F565" s="9">
        <v>23538.44233137201</v>
      </c>
      <c r="H565" s="9">
        <v>0</v>
      </c>
      <c r="I565" s="9">
        <v>0</v>
      </c>
      <c r="J565" s="9">
        <v>0</v>
      </c>
      <c r="K565" s="9">
        <v>0</v>
      </c>
      <c r="L565" s="9">
        <v>0</v>
      </c>
      <c r="N565" s="8">
        <v>0</v>
      </c>
      <c r="O565" s="8">
        <v>0</v>
      </c>
      <c r="P565" s="8">
        <v>0</v>
      </c>
      <c r="Q565" s="8">
        <v>0</v>
      </c>
      <c r="R565" s="8">
        <v>0</v>
      </c>
      <c r="T565" s="12">
        <v>0</v>
      </c>
    </row>
    <row r="566" spans="1:20">
      <c r="A566" s="4" t="s">
        <v>76</v>
      </c>
      <c r="B566" s="9">
        <v>0</v>
      </c>
      <c r="C566" s="9">
        <v>-6358.100000000002</v>
      </c>
      <c r="D566" s="9">
        <v>-7353.639720000004</v>
      </c>
      <c r="E566" s="9">
        <v>-8577.853031664001</v>
      </c>
      <c r="F566" s="9">
        <v>-10073.9119616348</v>
      </c>
      <c r="H566" s="9">
        <v>0</v>
      </c>
      <c r="I566" s="9">
        <v>0</v>
      </c>
      <c r="J566" s="9">
        <v>0</v>
      </c>
      <c r="K566" s="9">
        <v>0</v>
      </c>
      <c r="L566" s="9">
        <v>0</v>
      </c>
      <c r="N566" s="8">
        <v>0</v>
      </c>
      <c r="O566" s="8">
        <v>0</v>
      </c>
      <c r="P566" s="8">
        <v>0</v>
      </c>
      <c r="Q566" s="8">
        <v>0</v>
      </c>
      <c r="R566" s="8">
        <v>0</v>
      </c>
      <c r="T566" s="12">
        <v>0</v>
      </c>
    </row>
    <row r="567" spans="1:20">
      <c r="A567" s="4" t="s">
        <v>241</v>
      </c>
      <c r="B567" s="9">
        <v>50000</v>
      </c>
      <c r="C567" s="9">
        <v>57222.90000000001</v>
      </c>
      <c r="D567" s="9">
        <v>66182.75748000003</v>
      </c>
      <c r="E567" s="9">
        <v>77200.67728497602</v>
      </c>
      <c r="F567" s="9">
        <v>90665.20765471322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N567" s="8">
        <v>0</v>
      </c>
      <c r="O567" s="8">
        <v>0</v>
      </c>
      <c r="P567" s="8">
        <v>0</v>
      </c>
      <c r="Q567" s="8">
        <v>0</v>
      </c>
      <c r="R567" s="8">
        <v>0</v>
      </c>
      <c r="T567" s="12">
        <v>0</v>
      </c>
    </row>
    <row r="568" spans="1:20">
      <c r="A568" s="4" t="s">
        <v>243</v>
      </c>
      <c r="B568" s="9">
        <v>69039.72602739726</v>
      </c>
      <c r="C568" s="9">
        <v>79981.2098630137</v>
      </c>
      <c r="D568" s="9">
        <v>93466.88295978087</v>
      </c>
      <c r="E568" s="9">
        <v>109912.3592972439</v>
      </c>
      <c r="F568" s="9">
        <v>129886.1428892403</v>
      </c>
      <c r="H568" s="9">
        <v>0</v>
      </c>
      <c r="I568" s="9">
        <v>0</v>
      </c>
      <c r="J568" s="9">
        <v>0</v>
      </c>
      <c r="K568" s="9">
        <v>0</v>
      </c>
      <c r="L568" s="9">
        <v>0</v>
      </c>
      <c r="N568" s="8">
        <v>0</v>
      </c>
      <c r="O568" s="8">
        <v>0</v>
      </c>
      <c r="P568" s="8">
        <v>0</v>
      </c>
      <c r="Q568" s="8">
        <v>0</v>
      </c>
      <c r="R568" s="8">
        <v>0</v>
      </c>
      <c r="T568" s="12">
        <v>0</v>
      </c>
    </row>
    <row r="569" spans="1:20">
      <c r="A569" s="4" t="s">
        <v>245</v>
      </c>
      <c r="B569" s="9">
        <v>116624.6575342466</v>
      </c>
      <c r="C569" s="9">
        <v>116624.6575342466</v>
      </c>
      <c r="D569" s="9">
        <v>116624.6575342466</v>
      </c>
      <c r="E569" s="9">
        <v>116624.6575342466</v>
      </c>
      <c r="F569" s="9">
        <v>116624.6575342466</v>
      </c>
      <c r="H569" s="9">
        <v>0</v>
      </c>
      <c r="I569" s="9">
        <v>0</v>
      </c>
      <c r="J569" s="9">
        <v>0</v>
      </c>
      <c r="K569" s="9">
        <v>0</v>
      </c>
      <c r="L569" s="9">
        <v>0</v>
      </c>
      <c r="N569" s="8">
        <v>0</v>
      </c>
      <c r="O569" s="8">
        <v>0</v>
      </c>
      <c r="P569" s="8">
        <v>0</v>
      </c>
      <c r="Q569" s="8">
        <v>0</v>
      </c>
      <c r="R569" s="8">
        <v>0</v>
      </c>
      <c r="T569" s="12">
        <v>0</v>
      </c>
    </row>
    <row r="570" spans="1:20">
      <c r="A570" s="4" t="s">
        <v>247</v>
      </c>
      <c r="B570" s="9">
        <v>10335.61643835616</v>
      </c>
      <c r="C570" s="9">
        <v>0</v>
      </c>
      <c r="D570" s="9">
        <v>0</v>
      </c>
      <c r="E570" s="9">
        <v>0</v>
      </c>
      <c r="F570" s="9">
        <v>0</v>
      </c>
      <c r="H570" s="9">
        <v>0</v>
      </c>
      <c r="I570" s="9">
        <v>0</v>
      </c>
      <c r="J570" s="9">
        <v>0</v>
      </c>
      <c r="K570" s="9">
        <v>0</v>
      </c>
      <c r="L570" s="9">
        <v>0</v>
      </c>
      <c r="N570" s="8">
        <v>0</v>
      </c>
      <c r="O570" s="8">
        <v>0</v>
      </c>
      <c r="P570" s="8">
        <v>0</v>
      </c>
      <c r="Q570" s="8">
        <v>0</v>
      </c>
      <c r="R570" s="8">
        <v>0</v>
      </c>
      <c r="T570" s="12">
        <v>0</v>
      </c>
    </row>
    <row r="571" spans="1:20">
      <c r="A571" s="4" t="s">
        <v>249</v>
      </c>
      <c r="B571" s="9">
        <v>196000</v>
      </c>
      <c r="C571" s="9">
        <v>196605.8673972603</v>
      </c>
      <c r="D571" s="9">
        <v>210091.5404940274</v>
      </c>
      <c r="E571" s="9">
        <v>226537.0168314904</v>
      </c>
      <c r="F571" s="9">
        <v>246510.8004234869</v>
      </c>
      <c r="H571" s="9">
        <v>0</v>
      </c>
      <c r="I571" s="9">
        <v>0</v>
      </c>
      <c r="J571" s="9">
        <v>0</v>
      </c>
      <c r="K571" s="9">
        <v>0</v>
      </c>
      <c r="L571" s="9">
        <v>0</v>
      </c>
      <c r="N571" s="8">
        <v>0</v>
      </c>
      <c r="O571" s="8">
        <v>0</v>
      </c>
      <c r="P571" s="8">
        <v>0</v>
      </c>
      <c r="Q571" s="8">
        <v>0</v>
      </c>
      <c r="R571" s="8">
        <v>0</v>
      </c>
      <c r="T571" s="12">
        <v>0</v>
      </c>
    </row>
    <row r="572" spans="1:20">
      <c r="A572" s="4" t="s">
        <v>251</v>
      </c>
      <c r="B572" s="9">
        <v>90000</v>
      </c>
      <c r="C572" s="9">
        <v>70000</v>
      </c>
      <c r="D572" s="9">
        <v>50000</v>
      </c>
      <c r="E572" s="9">
        <v>30000</v>
      </c>
      <c r="F572" s="9">
        <v>10000</v>
      </c>
      <c r="H572" s="9">
        <v>0</v>
      </c>
      <c r="I572" s="9">
        <v>0</v>
      </c>
      <c r="J572" s="9">
        <v>0</v>
      </c>
      <c r="K572" s="9">
        <v>0</v>
      </c>
      <c r="L572" s="9">
        <v>0</v>
      </c>
      <c r="N572" s="8">
        <v>0</v>
      </c>
      <c r="O572" s="8">
        <v>0</v>
      </c>
      <c r="P572" s="8">
        <v>0</v>
      </c>
      <c r="Q572" s="8">
        <v>0</v>
      </c>
      <c r="R572" s="8">
        <v>0</v>
      </c>
      <c r="T572" s="12">
        <v>0</v>
      </c>
    </row>
    <row r="573" spans="1:20">
      <c r="A573" s="4" t="s">
        <v>253</v>
      </c>
      <c r="B573" s="9">
        <v>0</v>
      </c>
      <c r="C573" s="9">
        <v>10966.7617627109</v>
      </c>
      <c r="D573" s="9">
        <v>32153.30386540917</v>
      </c>
      <c r="E573" s="9">
        <v>53053.72901719448</v>
      </c>
      <c r="F573" s="9">
        <v>73392.3045174937</v>
      </c>
      <c r="H573" s="9">
        <v>0</v>
      </c>
      <c r="I573" s="9">
        <v>0</v>
      </c>
      <c r="J573" s="9">
        <v>0</v>
      </c>
      <c r="K573" s="9">
        <v>0</v>
      </c>
      <c r="L573" s="9">
        <v>0</v>
      </c>
      <c r="N573" s="8">
        <v>0</v>
      </c>
      <c r="O573" s="8">
        <v>0</v>
      </c>
      <c r="P573" s="8">
        <v>0</v>
      </c>
      <c r="Q573" s="8">
        <v>0</v>
      </c>
      <c r="R573" s="8">
        <v>0</v>
      </c>
      <c r="T573" s="12">
        <v>0</v>
      </c>
    </row>
    <row r="574" spans="1:20">
      <c r="A574" s="4" t="s">
        <v>255</v>
      </c>
      <c r="B574" s="9">
        <v>10335</v>
      </c>
      <c r="C574" s="9">
        <v>9639.105634549389</v>
      </c>
      <c r="D574" s="9">
        <v>12299.13099406888</v>
      </c>
      <c r="E574" s="9">
        <v>15545.05118567769</v>
      </c>
      <c r="F574" s="9">
        <v>19635.20809169723</v>
      </c>
      <c r="H574" s="9">
        <v>0</v>
      </c>
      <c r="I574" s="9">
        <v>0</v>
      </c>
      <c r="J574" s="9">
        <v>0</v>
      </c>
      <c r="K574" s="9">
        <v>0</v>
      </c>
      <c r="L574" s="9">
        <v>0</v>
      </c>
      <c r="N574" s="8">
        <v>0</v>
      </c>
      <c r="O574" s="8">
        <v>0</v>
      </c>
      <c r="P574" s="8">
        <v>0</v>
      </c>
      <c r="Q574" s="8">
        <v>0</v>
      </c>
      <c r="R574" s="8">
        <v>0</v>
      </c>
      <c r="T574" s="12">
        <v>0</v>
      </c>
    </row>
    <row r="575" spans="1:20">
      <c r="A575" s="4" t="s">
        <v>256</v>
      </c>
      <c r="B575" s="9">
        <v>-0</v>
      </c>
      <c r="C575" s="9">
        <v>0</v>
      </c>
      <c r="D575" s="9">
        <v>0</v>
      </c>
      <c r="E575" s="9">
        <v>0</v>
      </c>
      <c r="F575" s="9">
        <v>0</v>
      </c>
      <c r="H575" s="9">
        <v>0</v>
      </c>
      <c r="I575" s="9">
        <v>0</v>
      </c>
      <c r="J575" s="9">
        <v>0</v>
      </c>
      <c r="K575" s="9">
        <v>0</v>
      </c>
      <c r="L575" s="9">
        <v>0</v>
      </c>
      <c r="N575" s="8">
        <v>0</v>
      </c>
      <c r="O575" s="8">
        <v>0</v>
      </c>
      <c r="P575" s="8">
        <v>0</v>
      </c>
      <c r="Q575" s="8">
        <v>0</v>
      </c>
      <c r="R575" s="8">
        <v>0</v>
      </c>
      <c r="T575" s="12">
        <v>0</v>
      </c>
    </row>
    <row r="576" spans="1:20">
      <c r="A576" s="4" t="s">
        <v>258</v>
      </c>
      <c r="B576" s="9">
        <v>106000</v>
      </c>
      <c r="C576" s="9">
        <v>0</v>
      </c>
      <c r="D576" s="9">
        <v>0</v>
      </c>
      <c r="E576" s="9">
        <v>0</v>
      </c>
      <c r="F576" s="9">
        <v>0</v>
      </c>
      <c r="H576" s="9">
        <v>0</v>
      </c>
      <c r="I576" s="9">
        <v>0</v>
      </c>
      <c r="J576" s="9">
        <v>0</v>
      </c>
      <c r="K576" s="9">
        <v>0</v>
      </c>
      <c r="L576" s="9">
        <v>0</v>
      </c>
      <c r="N576" s="8">
        <v>0</v>
      </c>
      <c r="O576" s="8">
        <v>0</v>
      </c>
      <c r="P576" s="8">
        <v>0</v>
      </c>
      <c r="Q576" s="8">
        <v>0</v>
      </c>
      <c r="R576" s="8">
        <v>0</v>
      </c>
      <c r="T576" s="12">
        <v>0</v>
      </c>
    </row>
    <row r="577" spans="1:20">
      <c r="A577" s="4" t="s">
        <v>260</v>
      </c>
      <c r="B577" s="9">
        <v>106000</v>
      </c>
      <c r="C577" s="9">
        <v>115639.1056345494</v>
      </c>
      <c r="D577" s="9">
        <v>127938.2366286183</v>
      </c>
      <c r="E577" s="9">
        <v>143483.287814296</v>
      </c>
      <c r="F577" s="9">
        <v>163118.4959059932</v>
      </c>
      <c r="H577" s="9">
        <v>0</v>
      </c>
      <c r="I577" s="9">
        <v>0</v>
      </c>
      <c r="J577" s="9">
        <v>0</v>
      </c>
      <c r="K577" s="9">
        <v>0</v>
      </c>
      <c r="L577" s="9">
        <v>0</v>
      </c>
      <c r="N577" s="8">
        <v>0</v>
      </c>
      <c r="O577" s="8">
        <v>0</v>
      </c>
      <c r="P577" s="8">
        <v>0</v>
      </c>
      <c r="Q577" s="8">
        <v>0</v>
      </c>
      <c r="R577" s="8">
        <v>0</v>
      </c>
      <c r="T577" s="12">
        <v>0</v>
      </c>
    </row>
    <row r="578" spans="1:20">
      <c r="A578" s="4" t="s">
        <v>262</v>
      </c>
      <c r="B578" s="9">
        <v>196000</v>
      </c>
      <c r="C578" s="9">
        <v>196605.8673972603</v>
      </c>
      <c r="D578" s="9">
        <v>210091.5404940274</v>
      </c>
      <c r="E578" s="9">
        <v>226537.0168314904</v>
      </c>
      <c r="F578" s="9">
        <v>246510.8004234869</v>
      </c>
      <c r="H578" s="9">
        <v>0</v>
      </c>
      <c r="I578" s="9">
        <v>0</v>
      </c>
      <c r="J578" s="9">
        <v>0</v>
      </c>
      <c r="K578" s="9">
        <v>0</v>
      </c>
      <c r="L578" s="9">
        <v>0</v>
      </c>
      <c r="N578" s="8">
        <v>0</v>
      </c>
      <c r="O578" s="8">
        <v>0</v>
      </c>
      <c r="P578" s="8">
        <v>0</v>
      </c>
      <c r="Q578" s="8">
        <v>0</v>
      </c>
      <c r="R578" s="8">
        <v>0</v>
      </c>
      <c r="T578" s="12">
        <v>0</v>
      </c>
    </row>
    <row r="581" spans="1:20">
      <c r="A581" s="3" t="s">
        <v>679</v>
      </c>
      <c r="B581" s="4" t="s">
        <v>619</v>
      </c>
      <c r="C581" s="8">
        <f>FN.MAXDEV(BSdelta_deleverage, BSdelta_deleverageExp)</f>
        <v>0</v>
      </c>
      <c r="D581" s="12">
        <f>IF(FN.MAXDEV(BSdelta_deleverage, BSdelta_deleverageExp) &lt;= Tol, "PASS", "FAIL")</f>
        <v/>
      </c>
    </row>
    <row r="582" spans="1:20">
      <c r="A582" s="3" t="s">
        <v>5</v>
      </c>
      <c r="B582" s="3" t="s">
        <v>620</v>
      </c>
      <c r="C582" s="3" t="s">
        <v>623</v>
      </c>
      <c r="D582" s="3" t="s">
        <v>626</v>
      </c>
      <c r="E582" s="3" t="s">
        <v>629</v>
      </c>
      <c r="F582" s="3" t="s">
        <v>632</v>
      </c>
      <c r="H582" s="3" t="s">
        <v>621</v>
      </c>
      <c r="I582" s="3" t="s">
        <v>624</v>
      </c>
      <c r="J582" s="3" t="s">
        <v>627</v>
      </c>
      <c r="K582" s="3" t="s">
        <v>630</v>
      </c>
      <c r="L582" s="3" t="s">
        <v>633</v>
      </c>
      <c r="N582" s="3" t="s">
        <v>622</v>
      </c>
      <c r="O582" s="3" t="s">
        <v>625</v>
      </c>
      <c r="P582" s="3" t="s">
        <v>628</v>
      </c>
      <c r="Q582" s="3" t="s">
        <v>631</v>
      </c>
      <c r="R582" s="3" t="s">
        <v>634</v>
      </c>
      <c r="T582" s="3" t="s">
        <v>635</v>
      </c>
    </row>
    <row r="583" spans="1:20">
      <c r="A583" s="4" t="s">
        <v>237</v>
      </c>
      <c r="B583" s="9">
        <f>NA()</f>
        <v>0</v>
      </c>
      <c r="C583" s="9">
        <v>3718.583835616446</v>
      </c>
      <c r="D583" s="9">
        <v>4525.81561676713</v>
      </c>
      <c r="E583" s="9">
        <v>5427.556532487015</v>
      </c>
      <c r="F583" s="9">
        <v>6509.253222259256</v>
      </c>
      <c r="H583" s="9" cm="1">
        <f t="array" ref="H583:L591">BSdelta_deleverage</f>
        <v>0</v>
      </c>
      <c r="I583" s="9">
        <v>0</v>
      </c>
      <c r="J583" s="9">
        <v>0</v>
      </c>
      <c r="K583" s="9">
        <v>0</v>
      </c>
      <c r="L583" s="9">
        <v>0</v>
      </c>
      <c r="N583" s="8" cm="1">
        <f t="array" ref="N583:R591">FN.DEV(BSdelta_deleverage, BSdelta_deleverageExp)</f>
        <v>0</v>
      </c>
      <c r="O583" s="8">
        <v>0</v>
      </c>
      <c r="P583" s="8">
        <v>0</v>
      </c>
      <c r="Q583" s="8">
        <v>0</v>
      </c>
      <c r="R583" s="8">
        <v>0</v>
      </c>
      <c r="T583" s="12" cm="1">
        <f t="array" ref="T583:T591">_xlfn.BYROW(FN.DEV(BSdelta_deleverage, BSdelta_deleverageExp), _xlfn.LAMBDA(_xlpm.dev_row, IF(MAX(_xlpm.dev_row) &lt;= Tol, "PASS", "FAIL")))</f>
        <v>0</v>
      </c>
    </row>
    <row r="584" spans="1:20">
      <c r="A584" s="4" t="s">
        <v>251</v>
      </c>
      <c r="B584" s="9">
        <f>NA()</f>
        <v>0</v>
      </c>
      <c r="C584" s="9">
        <v>-20000</v>
      </c>
      <c r="D584" s="9">
        <v>-20000</v>
      </c>
      <c r="E584" s="9">
        <v>-20000</v>
      </c>
      <c r="F584" s="9">
        <v>-20000</v>
      </c>
      <c r="H584" s="9">
        <v>0</v>
      </c>
      <c r="I584" s="9">
        <v>0</v>
      </c>
      <c r="J584" s="9">
        <v>0</v>
      </c>
      <c r="K584" s="9">
        <v>0</v>
      </c>
      <c r="L584" s="9">
        <v>0</v>
      </c>
      <c r="N584" s="8">
        <v>0</v>
      </c>
      <c r="O584" s="8">
        <v>0</v>
      </c>
      <c r="P584" s="8">
        <v>0</v>
      </c>
      <c r="Q584" s="8">
        <v>0</v>
      </c>
      <c r="R584" s="8">
        <v>0</v>
      </c>
      <c r="T584" s="12">
        <v>0</v>
      </c>
    </row>
    <row r="585" spans="1:20">
      <c r="A585" s="4" t="s">
        <v>241</v>
      </c>
      <c r="B585" s="9">
        <f>NA()</f>
        <v>0</v>
      </c>
      <c r="C585" s="9">
        <v>7222.900000000009</v>
      </c>
      <c r="D585" s="9">
        <v>8959.857480000021</v>
      </c>
      <c r="E585" s="9">
        <v>11017.91980497599</v>
      </c>
      <c r="F585" s="9">
        <v>13464.5303697372</v>
      </c>
      <c r="H585" s="9">
        <v>0</v>
      </c>
      <c r="I585" s="9">
        <v>0</v>
      </c>
      <c r="J585" s="9">
        <v>0</v>
      </c>
      <c r="K585" s="9">
        <v>0</v>
      </c>
      <c r="L585" s="9">
        <v>0</v>
      </c>
      <c r="N585" s="8">
        <v>0</v>
      </c>
      <c r="O585" s="8">
        <v>0</v>
      </c>
      <c r="P585" s="8">
        <v>0</v>
      </c>
      <c r="Q585" s="8">
        <v>0</v>
      </c>
      <c r="R585" s="8">
        <v>0</v>
      </c>
      <c r="T585" s="12">
        <v>0</v>
      </c>
    </row>
    <row r="586" spans="1:20">
      <c r="A586" s="4" t="s">
        <v>235</v>
      </c>
      <c r="B586" s="9">
        <f>NA()</f>
        <v>0</v>
      </c>
      <c r="C586" s="9">
        <v>1240.273972602741</v>
      </c>
      <c r="D586" s="9">
        <v>1489.817095890412</v>
      </c>
      <c r="E586" s="9">
        <v>1789.56829558356</v>
      </c>
      <c r="F586" s="9">
        <v>2149.629436654979</v>
      </c>
      <c r="H586" s="9">
        <v>0</v>
      </c>
      <c r="I586" s="9">
        <v>0</v>
      </c>
      <c r="J586" s="9">
        <v>0</v>
      </c>
      <c r="K586" s="9">
        <v>0</v>
      </c>
      <c r="L586" s="9">
        <v>0</v>
      </c>
      <c r="N586" s="8">
        <v>0</v>
      </c>
      <c r="O586" s="8">
        <v>0</v>
      </c>
      <c r="P586" s="8">
        <v>0</v>
      </c>
      <c r="Q586" s="8">
        <v>0</v>
      </c>
      <c r="R586" s="8">
        <v>0</v>
      </c>
      <c r="T586" s="12">
        <v>0</v>
      </c>
    </row>
    <row r="587" spans="1:20">
      <c r="A587" s="4" t="s">
        <v>226</v>
      </c>
      <c r="B587" s="9">
        <f>NA()</f>
        <v>0</v>
      </c>
      <c r="C587" s="9">
        <v>2480.547945205482</v>
      </c>
      <c r="D587" s="9">
        <v>2979.634191780824</v>
      </c>
      <c r="E587" s="9">
        <v>3579.13659116712</v>
      </c>
      <c r="F587" s="9">
        <v>4299.258873309958</v>
      </c>
      <c r="H587" s="9">
        <v>0</v>
      </c>
      <c r="I587" s="9">
        <v>0</v>
      </c>
      <c r="J587" s="9">
        <v>0</v>
      </c>
      <c r="K587" s="9">
        <v>0</v>
      </c>
      <c r="L587" s="9">
        <v>0</v>
      </c>
      <c r="N587" s="8">
        <v>0</v>
      </c>
      <c r="O587" s="8">
        <v>0</v>
      </c>
      <c r="P587" s="8">
        <v>0</v>
      </c>
      <c r="Q587" s="8">
        <v>0</v>
      </c>
      <c r="R587" s="8">
        <v>0</v>
      </c>
      <c r="T587" s="12">
        <v>0</v>
      </c>
    </row>
    <row r="588" spans="1:20">
      <c r="A588" s="4" t="s">
        <v>228</v>
      </c>
      <c r="B588" s="9">
        <f>NA()</f>
        <v>0</v>
      </c>
      <c r="C588" s="9">
        <v>219.0246575342469</v>
      </c>
      <c r="D588" s="9">
        <v>255.5032142465757</v>
      </c>
      <c r="E588" s="9">
        <v>298.0572745793418</v>
      </c>
      <c r="F588" s="9">
        <v>347.6987136605326</v>
      </c>
      <c r="H588" s="9">
        <v>0</v>
      </c>
      <c r="I588" s="9">
        <v>0</v>
      </c>
      <c r="J588" s="9">
        <v>0</v>
      </c>
      <c r="K588" s="9">
        <v>0</v>
      </c>
      <c r="L588" s="9">
        <v>0</v>
      </c>
      <c r="N588" s="8">
        <v>0</v>
      </c>
      <c r="O588" s="8">
        <v>0</v>
      </c>
      <c r="P588" s="8">
        <v>0</v>
      </c>
      <c r="Q588" s="8">
        <v>0</v>
      </c>
      <c r="R588" s="8">
        <v>0</v>
      </c>
      <c r="T588" s="12">
        <v>0</v>
      </c>
    </row>
    <row r="589" spans="1:20">
      <c r="A589" s="4" t="s">
        <v>229</v>
      </c>
      <c r="B589" s="9">
        <f>NA()</f>
        <v>0</v>
      </c>
      <c r="C589" s="9">
        <v>665.8915068493161</v>
      </c>
      <c r="D589" s="9">
        <v>788.4850714520553</v>
      </c>
      <c r="E589" s="9">
        <v>933.8484882677403</v>
      </c>
      <c r="F589" s="9">
        <v>1106.247277260954</v>
      </c>
      <c r="H589" s="9">
        <v>0</v>
      </c>
      <c r="I589" s="9">
        <v>0</v>
      </c>
      <c r="J589" s="9">
        <v>0</v>
      </c>
      <c r="K589" s="9">
        <v>0</v>
      </c>
      <c r="L589" s="9">
        <v>0</v>
      </c>
      <c r="N589" s="8">
        <v>0</v>
      </c>
      <c r="O589" s="8">
        <v>0</v>
      </c>
      <c r="P589" s="8">
        <v>0</v>
      </c>
      <c r="Q589" s="8">
        <v>0</v>
      </c>
      <c r="R589" s="8">
        <v>0</v>
      </c>
      <c r="T589" s="12">
        <v>0</v>
      </c>
    </row>
    <row r="590" spans="1:20">
      <c r="A590" s="4" t="s">
        <v>233</v>
      </c>
      <c r="B590" s="9">
        <f>NA()</f>
        <v>0</v>
      </c>
      <c r="C590" s="9">
        <v>-786.3657534246581</v>
      </c>
      <c r="D590" s="9">
        <v>-718.4636679452065</v>
      </c>
      <c r="E590" s="9">
        <v>-849.7387783753138</v>
      </c>
      <c r="F590" s="9">
        <v>-1005.214693738169</v>
      </c>
      <c r="H590" s="9">
        <v>0</v>
      </c>
      <c r="I590" s="9">
        <v>0</v>
      </c>
      <c r="J590" s="9">
        <v>0</v>
      </c>
      <c r="K590" s="9">
        <v>0</v>
      </c>
      <c r="L590" s="9">
        <v>0</v>
      </c>
      <c r="N590" s="8">
        <v>0</v>
      </c>
      <c r="O590" s="8">
        <v>0</v>
      </c>
      <c r="P590" s="8">
        <v>0</v>
      </c>
      <c r="Q590" s="8">
        <v>0</v>
      </c>
      <c r="R590" s="8">
        <v>0</v>
      </c>
      <c r="T590" s="12">
        <v>0</v>
      </c>
    </row>
    <row r="591" spans="1:20">
      <c r="A591" s="4" t="s">
        <v>231</v>
      </c>
      <c r="B591" s="9">
        <f>NA()</f>
        <v>0</v>
      </c>
      <c r="C591" s="9">
        <v>-100.7884931506851</v>
      </c>
      <c r="D591" s="9">
        <v>-269.1602886575345</v>
      </c>
      <c r="E591" s="9">
        <v>-323.31533873543</v>
      </c>
      <c r="F591" s="9">
        <v>-388.3663848889992</v>
      </c>
      <c r="H591" s="9">
        <v>0</v>
      </c>
      <c r="I591" s="9">
        <v>0</v>
      </c>
      <c r="J591" s="9">
        <v>0</v>
      </c>
      <c r="K591" s="9">
        <v>0</v>
      </c>
      <c r="L591" s="9">
        <v>0</v>
      </c>
      <c r="N591" s="8">
        <v>0</v>
      </c>
      <c r="O591" s="8">
        <v>0</v>
      </c>
      <c r="P591" s="8">
        <v>0</v>
      </c>
      <c r="Q591" s="8">
        <v>0</v>
      </c>
      <c r="R591" s="8">
        <v>0</v>
      </c>
      <c r="T591" s="12">
        <v>0</v>
      </c>
    </row>
    <row r="594" spans="1:20">
      <c r="A594" s="3" t="s">
        <v>680</v>
      </c>
      <c r="B594" s="4" t="s">
        <v>619</v>
      </c>
      <c r="C594" s="8">
        <f>FN.MAXDEV(FCF_deleverage, FCF_deleverageExp)</f>
        <v>0</v>
      </c>
      <c r="D594" s="12">
        <f>IF(FN.MAXDEV(FCF_deleverage, FCF_deleverageExp) &lt;= Tol, "PASS", "FAIL")</f>
        <v/>
      </c>
    </row>
    <row r="595" spans="1:20">
      <c r="A595" s="3" t="s">
        <v>5</v>
      </c>
      <c r="B595" s="3" t="s">
        <v>620</v>
      </c>
      <c r="C595" s="3" t="s">
        <v>623</v>
      </c>
      <c r="D595" s="3" t="s">
        <v>626</v>
      </c>
      <c r="E595" s="3" t="s">
        <v>629</v>
      </c>
      <c r="F595" s="3" t="s">
        <v>632</v>
      </c>
      <c r="H595" s="3" t="s">
        <v>621</v>
      </c>
      <c r="I595" s="3" t="s">
        <v>624</v>
      </c>
      <c r="J595" s="3" t="s">
        <v>627</v>
      </c>
      <c r="K595" s="3" t="s">
        <v>630</v>
      </c>
      <c r="L595" s="3" t="s">
        <v>633</v>
      </c>
      <c r="N595" s="3" t="s">
        <v>622</v>
      </c>
      <c r="O595" s="3" t="s">
        <v>625</v>
      </c>
      <c r="P595" s="3" t="s">
        <v>628</v>
      </c>
      <c r="Q595" s="3" t="s">
        <v>631</v>
      </c>
      <c r="R595" s="3" t="s">
        <v>634</v>
      </c>
      <c r="T595" s="3" t="s">
        <v>635</v>
      </c>
    </row>
    <row r="596" spans="1:20">
      <c r="A596" s="4" t="s">
        <v>152</v>
      </c>
      <c r="B596" s="9">
        <v>0</v>
      </c>
      <c r="C596" s="9">
        <v>19001.08</v>
      </c>
      <c r="D596" s="9">
        <v>23754.542616</v>
      </c>
      <c r="E596" s="9">
        <v>29543.74467788521</v>
      </c>
      <c r="F596" s="9">
        <v>36597.85379015251</v>
      </c>
      <c r="H596" s="9" cm="1">
        <f t="array" ref="H596:L610">FCF_deleverage</f>
        <v>0</v>
      </c>
      <c r="I596" s="9">
        <v>0</v>
      </c>
      <c r="J596" s="9">
        <v>0</v>
      </c>
      <c r="K596" s="9">
        <v>0</v>
      </c>
      <c r="L596" s="9">
        <v>0</v>
      </c>
      <c r="N596" s="8" cm="1">
        <f t="array" ref="N596:R610">FN.DEV(FCF_deleverage, FCF_deleverageExp)</f>
        <v>0</v>
      </c>
      <c r="O596" s="8">
        <v>0</v>
      </c>
      <c r="P596" s="8">
        <v>0</v>
      </c>
      <c r="Q596" s="8">
        <v>0</v>
      </c>
      <c r="R596" s="8">
        <v>0</v>
      </c>
      <c r="T596" s="12" cm="1">
        <f t="array" ref="T596:T610">_xlfn.BYROW(FN.DEV(FCF_deleverage, FCF_deleverageExp), _xlfn.LAMBDA(_xlpm.dev_row, IF(MAX(_xlpm.dev_row) &lt;= Tol, "PASS", "FAIL")))</f>
        <v>0</v>
      </c>
    </row>
    <row r="597" spans="1:20">
      <c r="A597" s="4" t="s">
        <v>366</v>
      </c>
      <c r="B597" s="9">
        <v>0</v>
      </c>
      <c r="C597" s="9">
        <v>-6650.377999999999</v>
      </c>
      <c r="D597" s="9">
        <v>-8314.0899156</v>
      </c>
      <c r="E597" s="9">
        <v>-10340.31063725982</v>
      </c>
      <c r="F597" s="9">
        <v>-12809.24882655338</v>
      </c>
      <c r="H597" s="9">
        <v>0</v>
      </c>
      <c r="I597" s="9">
        <v>0</v>
      </c>
      <c r="J597" s="9">
        <v>0</v>
      </c>
      <c r="K597" s="9">
        <v>0</v>
      </c>
      <c r="L597" s="9">
        <v>0</v>
      </c>
      <c r="N597" s="8">
        <v>0</v>
      </c>
      <c r="O597" s="8">
        <v>0</v>
      </c>
      <c r="P597" s="8">
        <v>0</v>
      </c>
      <c r="Q597" s="8">
        <v>0</v>
      </c>
      <c r="R597" s="8">
        <v>0</v>
      </c>
      <c r="T597" s="12">
        <v>0</v>
      </c>
    </row>
    <row r="598" spans="1:20">
      <c r="A598" s="4" t="s">
        <v>368</v>
      </c>
      <c r="B598" s="9">
        <v>0</v>
      </c>
      <c r="C598" s="9">
        <v>12350.702</v>
      </c>
      <c r="D598" s="9">
        <v>15440.4527004</v>
      </c>
      <c r="E598" s="9">
        <v>19203.43404062539</v>
      </c>
      <c r="F598" s="9">
        <v>23788.60496359913</v>
      </c>
      <c r="H598" s="9">
        <v>0</v>
      </c>
      <c r="I598" s="9">
        <v>0</v>
      </c>
      <c r="J598" s="9">
        <v>0</v>
      </c>
      <c r="K598" s="9">
        <v>0</v>
      </c>
      <c r="L598" s="9">
        <v>0</v>
      </c>
      <c r="N598" s="8">
        <v>0</v>
      </c>
      <c r="O598" s="8">
        <v>0</v>
      </c>
      <c r="P598" s="8">
        <v>0</v>
      </c>
      <c r="Q598" s="8">
        <v>0</v>
      </c>
      <c r="R598" s="8">
        <v>0</v>
      </c>
      <c r="T598" s="12">
        <v>0</v>
      </c>
    </row>
    <row r="599" spans="1:20">
      <c r="A599" s="4" t="s">
        <v>370</v>
      </c>
      <c r="B599" s="9">
        <v>0</v>
      </c>
      <c r="C599" s="9">
        <v>6358.100000000002</v>
      </c>
      <c r="D599" s="9">
        <v>7353.639720000004</v>
      </c>
      <c r="E599" s="9">
        <v>8577.853031664001</v>
      </c>
      <c r="F599" s="9">
        <v>10073.9119616348</v>
      </c>
      <c r="H599" s="9">
        <v>0</v>
      </c>
      <c r="I599" s="9">
        <v>0</v>
      </c>
      <c r="J599" s="9">
        <v>0</v>
      </c>
      <c r="K599" s="9">
        <v>0</v>
      </c>
      <c r="L599" s="9">
        <v>0</v>
      </c>
      <c r="N599" s="8">
        <v>0</v>
      </c>
      <c r="O599" s="8">
        <v>0</v>
      </c>
      <c r="P599" s="8">
        <v>0</v>
      </c>
      <c r="Q599" s="8">
        <v>0</v>
      </c>
      <c r="R599" s="8">
        <v>0</v>
      </c>
      <c r="T599" s="12">
        <v>0</v>
      </c>
    </row>
    <row r="600" spans="1:20">
      <c r="A600" s="4" t="s">
        <v>372</v>
      </c>
      <c r="B600" s="9">
        <v>0</v>
      </c>
      <c r="C600" s="9">
        <v>-3718.583835616446</v>
      </c>
      <c r="D600" s="9">
        <v>-4525.81561676713</v>
      </c>
      <c r="E600" s="9">
        <v>-5427.556532487015</v>
      </c>
      <c r="F600" s="9">
        <v>-6509.253222259256</v>
      </c>
      <c r="H600" s="9">
        <v>0</v>
      </c>
      <c r="I600" s="9">
        <v>0</v>
      </c>
      <c r="J600" s="9">
        <v>0</v>
      </c>
      <c r="K600" s="9">
        <v>0</v>
      </c>
      <c r="L600" s="9">
        <v>0</v>
      </c>
      <c r="N600" s="8">
        <v>0</v>
      </c>
      <c r="O600" s="8">
        <v>0</v>
      </c>
      <c r="P600" s="8">
        <v>0</v>
      </c>
      <c r="Q600" s="8">
        <v>0</v>
      </c>
      <c r="R600" s="8">
        <v>0</v>
      </c>
      <c r="T600" s="12">
        <v>0</v>
      </c>
    </row>
    <row r="601" spans="1:20">
      <c r="A601" s="4" t="s">
        <v>374</v>
      </c>
      <c r="B601" s="9">
        <v>0</v>
      </c>
      <c r="C601" s="9">
        <v>-13581.00000000001</v>
      </c>
      <c r="D601" s="9">
        <v>-16313.49720000002</v>
      </c>
      <c r="E601" s="9">
        <v>-19595.77283663998</v>
      </c>
      <c r="F601" s="9">
        <v>-23538.44233137201</v>
      </c>
      <c r="H601" s="9">
        <v>0</v>
      </c>
      <c r="I601" s="9">
        <v>0</v>
      </c>
      <c r="J601" s="9">
        <v>0</v>
      </c>
      <c r="K601" s="9">
        <v>0</v>
      </c>
      <c r="L601" s="9">
        <v>0</v>
      </c>
      <c r="N601" s="8">
        <v>0</v>
      </c>
      <c r="O601" s="8">
        <v>0</v>
      </c>
      <c r="P601" s="8">
        <v>0</v>
      </c>
      <c r="Q601" s="8">
        <v>0</v>
      </c>
      <c r="R601" s="8">
        <v>0</v>
      </c>
      <c r="T601" s="12">
        <v>0</v>
      </c>
    </row>
    <row r="602" spans="1:20">
      <c r="A602" s="4" t="s">
        <v>376</v>
      </c>
      <c r="B602" s="9">
        <v>0</v>
      </c>
      <c r="C602" s="9">
        <v>1409.218164383545</v>
      </c>
      <c r="D602" s="9">
        <v>1954.779603632855</v>
      </c>
      <c r="E602" s="9">
        <v>2757.957703162388</v>
      </c>
      <c r="F602" s="9">
        <v>3814.821371602669</v>
      </c>
      <c r="H602" s="9">
        <v>0</v>
      </c>
      <c r="I602" s="9">
        <v>0</v>
      </c>
      <c r="J602" s="9">
        <v>0</v>
      </c>
      <c r="K602" s="9">
        <v>0</v>
      </c>
      <c r="L602" s="9">
        <v>0</v>
      </c>
      <c r="N602" s="8">
        <v>0</v>
      </c>
      <c r="O602" s="8">
        <v>0</v>
      </c>
      <c r="P602" s="8">
        <v>0</v>
      </c>
      <c r="Q602" s="8">
        <v>0</v>
      </c>
      <c r="R602" s="8">
        <v>0</v>
      </c>
      <c r="T602" s="12">
        <v>0</v>
      </c>
    </row>
    <row r="603" spans="1:20">
      <c r="A603" s="4" t="s">
        <v>378</v>
      </c>
      <c r="B603" s="9">
        <v>0</v>
      </c>
      <c r="C603" s="9">
        <v>-20000</v>
      </c>
      <c r="D603" s="9">
        <v>-20000</v>
      </c>
      <c r="E603" s="9">
        <v>-20000</v>
      </c>
      <c r="F603" s="9">
        <v>-20000</v>
      </c>
      <c r="H603" s="9">
        <v>0</v>
      </c>
      <c r="I603" s="9">
        <v>0</v>
      </c>
      <c r="J603" s="9">
        <v>0</v>
      </c>
      <c r="K603" s="9">
        <v>0</v>
      </c>
      <c r="L603" s="9">
        <v>0</v>
      </c>
      <c r="N603" s="8">
        <v>0</v>
      </c>
      <c r="O603" s="8">
        <v>0</v>
      </c>
      <c r="P603" s="8">
        <v>0</v>
      </c>
      <c r="Q603" s="8">
        <v>0</v>
      </c>
      <c r="R603" s="8">
        <v>0</v>
      </c>
      <c r="T603" s="12">
        <v>0</v>
      </c>
    </row>
    <row r="604" spans="1:20">
      <c r="A604" s="4" t="s">
        <v>380</v>
      </c>
      <c r="B604" s="9">
        <v>0</v>
      </c>
      <c r="C604" s="9">
        <v>-2597.4</v>
      </c>
      <c r="D604" s="9">
        <v>-2020.2</v>
      </c>
      <c r="E604" s="9">
        <v>-1443</v>
      </c>
      <c r="F604" s="9">
        <v>-865.8000000000001</v>
      </c>
      <c r="H604" s="9">
        <v>0</v>
      </c>
      <c r="I604" s="9">
        <v>0</v>
      </c>
      <c r="J604" s="9">
        <v>0</v>
      </c>
      <c r="K604" s="9">
        <v>0</v>
      </c>
      <c r="L604" s="9">
        <v>0</v>
      </c>
      <c r="N604" s="8">
        <v>0</v>
      </c>
      <c r="O604" s="8">
        <v>0</v>
      </c>
      <c r="P604" s="8">
        <v>0</v>
      </c>
      <c r="Q604" s="8">
        <v>0</v>
      </c>
      <c r="R604" s="8">
        <v>0</v>
      </c>
      <c r="T604" s="12">
        <v>0</v>
      </c>
    </row>
    <row r="605" spans="1:20">
      <c r="A605" s="4" t="s">
        <v>382</v>
      </c>
      <c r="B605" s="9">
        <v>0</v>
      </c>
      <c r="C605" s="9">
        <v>-21188.18183561646</v>
      </c>
      <c r="D605" s="9">
        <v>-20065.42039636715</v>
      </c>
      <c r="E605" s="9">
        <v>-18685.04229683761</v>
      </c>
      <c r="F605" s="9">
        <v>-17050.97862839733</v>
      </c>
      <c r="H605" s="9">
        <v>0</v>
      </c>
      <c r="I605" s="9">
        <v>0</v>
      </c>
      <c r="J605" s="9">
        <v>0</v>
      </c>
      <c r="K605" s="9">
        <v>0</v>
      </c>
      <c r="L605" s="9">
        <v>0</v>
      </c>
      <c r="N605" s="8">
        <v>0</v>
      </c>
      <c r="O605" s="8">
        <v>0</v>
      </c>
      <c r="P605" s="8">
        <v>0</v>
      </c>
      <c r="Q605" s="8">
        <v>0</v>
      </c>
      <c r="R605" s="8">
        <v>0</v>
      </c>
      <c r="T605" s="12">
        <v>0</v>
      </c>
    </row>
    <row r="606" spans="1:20">
      <c r="A606" s="4" t="s">
        <v>384</v>
      </c>
      <c r="B606" s="9">
        <v>0</v>
      </c>
      <c r="C606" s="9">
        <v>0</v>
      </c>
      <c r="D606" s="9">
        <v>0</v>
      </c>
      <c r="E606" s="9">
        <v>0</v>
      </c>
      <c r="F606" s="9">
        <v>0</v>
      </c>
      <c r="H606" s="9">
        <v>0</v>
      </c>
      <c r="I606" s="9">
        <v>0</v>
      </c>
      <c r="J606" s="9">
        <v>0</v>
      </c>
      <c r="K606" s="9">
        <v>0</v>
      </c>
      <c r="L606" s="9">
        <v>0</v>
      </c>
      <c r="N606" s="8">
        <v>0</v>
      </c>
      <c r="O606" s="8">
        <v>0</v>
      </c>
      <c r="P606" s="8">
        <v>0</v>
      </c>
      <c r="Q606" s="8">
        <v>0</v>
      </c>
      <c r="R606" s="8">
        <v>0</v>
      </c>
      <c r="T606" s="12">
        <v>0</v>
      </c>
    </row>
    <row r="607" spans="1:20">
      <c r="A607" s="4" t="s">
        <v>386</v>
      </c>
      <c r="B607" s="9">
        <v>0</v>
      </c>
      <c r="C607" s="9">
        <v>21188.18183561646</v>
      </c>
      <c r="D607" s="9">
        <v>20065.42039636715</v>
      </c>
      <c r="E607" s="9">
        <v>18685.04229683761</v>
      </c>
      <c r="F607" s="9">
        <v>17050.97862839733</v>
      </c>
      <c r="H607" s="9">
        <v>0</v>
      </c>
      <c r="I607" s="9">
        <v>0</v>
      </c>
      <c r="J607" s="9">
        <v>0</v>
      </c>
      <c r="K607" s="9">
        <v>0</v>
      </c>
      <c r="L607" s="9">
        <v>0</v>
      </c>
      <c r="N607" s="8">
        <v>0</v>
      </c>
      <c r="O607" s="8">
        <v>0</v>
      </c>
      <c r="P607" s="8">
        <v>0</v>
      </c>
      <c r="Q607" s="8">
        <v>0</v>
      </c>
      <c r="R607" s="8">
        <v>0</v>
      </c>
      <c r="T607" s="12">
        <v>0</v>
      </c>
    </row>
    <row r="608" spans="1:20">
      <c r="A608" s="4" t="s">
        <v>388</v>
      </c>
      <c r="B608" s="9">
        <v>0</v>
      </c>
      <c r="C608" s="9">
        <v>0</v>
      </c>
      <c r="D608" s="9">
        <v>0</v>
      </c>
      <c r="E608" s="9">
        <v>0</v>
      </c>
      <c r="F608" s="9">
        <v>0</v>
      </c>
      <c r="H608" s="9">
        <v>0</v>
      </c>
      <c r="I608" s="9">
        <v>0</v>
      </c>
      <c r="J608" s="9">
        <v>0</v>
      </c>
      <c r="K608" s="9">
        <v>0</v>
      </c>
      <c r="L608" s="9">
        <v>0</v>
      </c>
      <c r="N608" s="8">
        <v>0</v>
      </c>
      <c r="O608" s="8">
        <v>0</v>
      </c>
      <c r="P608" s="8">
        <v>0</v>
      </c>
      <c r="Q608" s="8">
        <v>0</v>
      </c>
      <c r="R608" s="8">
        <v>0</v>
      </c>
      <c r="T608" s="12">
        <v>0</v>
      </c>
    </row>
    <row r="609" spans="1:20">
      <c r="A609" s="4" t="s">
        <v>390</v>
      </c>
      <c r="B609" s="9">
        <v>0</v>
      </c>
      <c r="C609" s="9">
        <v>0</v>
      </c>
      <c r="D609" s="9">
        <v>0</v>
      </c>
      <c r="E609" s="9">
        <v>0</v>
      </c>
      <c r="F609" s="9">
        <v>0</v>
      </c>
      <c r="H609" s="9">
        <v>0</v>
      </c>
      <c r="I609" s="9">
        <v>0</v>
      </c>
      <c r="J609" s="9">
        <v>0</v>
      </c>
      <c r="K609" s="9">
        <v>0</v>
      </c>
      <c r="L609" s="9">
        <v>0</v>
      </c>
      <c r="N609" s="8">
        <v>0</v>
      </c>
      <c r="O609" s="8">
        <v>0</v>
      </c>
      <c r="P609" s="8">
        <v>0</v>
      </c>
      <c r="Q609" s="8">
        <v>0</v>
      </c>
      <c r="R609" s="8">
        <v>0</v>
      </c>
      <c r="T609" s="12">
        <v>0</v>
      </c>
    </row>
    <row r="610" spans="1:20">
      <c r="A610" s="4" t="s">
        <v>392</v>
      </c>
      <c r="B610" s="9">
        <v>0</v>
      </c>
      <c r="C610" s="9">
        <v>0</v>
      </c>
      <c r="D610" s="9">
        <v>0</v>
      </c>
      <c r="E610" s="9">
        <v>0</v>
      </c>
      <c r="F610" s="9">
        <v>0</v>
      </c>
      <c r="H610" s="9">
        <v>0</v>
      </c>
      <c r="I610" s="9">
        <v>0</v>
      </c>
      <c r="J610" s="9">
        <v>0</v>
      </c>
      <c r="K610" s="9">
        <v>0</v>
      </c>
      <c r="L610" s="9">
        <v>0</v>
      </c>
      <c r="N610" s="8">
        <v>0</v>
      </c>
      <c r="O610" s="8">
        <v>0</v>
      </c>
      <c r="P610" s="8">
        <v>0</v>
      </c>
      <c r="Q610" s="8">
        <v>0</v>
      </c>
      <c r="R610" s="8">
        <v>0</v>
      </c>
      <c r="T610" s="12">
        <v>0</v>
      </c>
    </row>
    <row r="613" spans="1:20">
      <c r="A613" s="3" t="s">
        <v>681</v>
      </c>
      <c r="B613" s="4" t="s">
        <v>619</v>
      </c>
      <c r="C613" s="8">
        <f>FN.MAXDEV(SCFrecursive_deleverage, SCFrecursive_deleverageExp)</f>
        <v>0</v>
      </c>
      <c r="D613" s="12">
        <f>IF(FN.MAXDEV(SCFrecursive_deleverage, SCFrecursive_deleverageExp) &lt;= Tol, "PASS", "FAIL")</f>
        <v/>
      </c>
    </row>
    <row r="614" spans="1:20">
      <c r="A614" s="3" t="s">
        <v>5</v>
      </c>
      <c r="B614" s="3" t="s">
        <v>620</v>
      </c>
      <c r="C614" s="3" t="s">
        <v>623</v>
      </c>
      <c r="D614" s="3" t="s">
        <v>626</v>
      </c>
      <c r="E614" s="3" t="s">
        <v>629</v>
      </c>
      <c r="F614" s="3" t="s">
        <v>632</v>
      </c>
      <c r="H614" s="3" t="s">
        <v>621</v>
      </c>
      <c r="I614" s="3" t="s">
        <v>624</v>
      </c>
      <c r="J614" s="3" t="s">
        <v>627</v>
      </c>
      <c r="K614" s="3" t="s">
        <v>630</v>
      </c>
      <c r="L614" s="3" t="s">
        <v>633</v>
      </c>
      <c r="N614" s="3" t="s">
        <v>622</v>
      </c>
      <c r="O614" s="3" t="s">
        <v>625</v>
      </c>
      <c r="P614" s="3" t="s">
        <v>628</v>
      </c>
      <c r="Q614" s="3" t="s">
        <v>631</v>
      </c>
      <c r="R614" s="3" t="s">
        <v>634</v>
      </c>
      <c r="T614" s="3" t="s">
        <v>635</v>
      </c>
    </row>
    <row r="615" spans="1:20">
      <c r="A615" s="4" t="s">
        <v>382</v>
      </c>
      <c r="B615" s="9">
        <v>0</v>
      </c>
      <c r="C615" s="9">
        <v>-21188.18183561646</v>
      </c>
      <c r="D615" s="9">
        <v>-20065.42039636715</v>
      </c>
      <c r="E615" s="9">
        <v>-18685.04229683761</v>
      </c>
      <c r="F615" s="9">
        <v>-17050.97862839733</v>
      </c>
      <c r="H615" s="9" cm="1">
        <f t="array" ref="H615:L644">SCFrecursive_deleverage</f>
        <v>0</v>
      </c>
      <c r="I615" s="9">
        <v>0</v>
      </c>
      <c r="J615" s="9">
        <v>0</v>
      </c>
      <c r="K615" s="9">
        <v>0</v>
      </c>
      <c r="L615" s="9">
        <v>0</v>
      </c>
      <c r="N615" s="8" cm="1">
        <f t="array" ref="N615:R644">FN.DEV(SCFrecursive_deleverage, SCFrecursive_deleverageExp)</f>
        <v>0</v>
      </c>
      <c r="O615" s="8">
        <v>0</v>
      </c>
      <c r="P615" s="8">
        <v>0</v>
      </c>
      <c r="Q615" s="8">
        <v>0</v>
      </c>
      <c r="R615" s="8">
        <v>0</v>
      </c>
      <c r="T615" s="12" cm="1">
        <f t="array" ref="T615:T644">_xlfn.BYROW(FN.DEV(SCFrecursive_deleverage, SCFrecursive_deleverageExp), _xlfn.LAMBDA(_xlpm.dev_row, IF(MAX(_xlpm.dev_row) &lt;= Tol, "PASS", "FAIL")))</f>
        <v>0</v>
      </c>
    </row>
    <row r="616" spans="1:20">
      <c r="A616" s="4" t="s">
        <v>258</v>
      </c>
      <c r="B616" s="9">
        <v>0</v>
      </c>
      <c r="C616" s="9">
        <v>0</v>
      </c>
      <c r="D616" s="9">
        <v>0</v>
      </c>
      <c r="E616" s="9">
        <v>0</v>
      </c>
      <c r="F616" s="9">
        <v>0</v>
      </c>
      <c r="H616" s="9">
        <v>0</v>
      </c>
      <c r="I616" s="9">
        <v>0</v>
      </c>
      <c r="J616" s="9">
        <v>0</v>
      </c>
      <c r="K616" s="9">
        <v>0</v>
      </c>
      <c r="L616" s="9">
        <v>0</v>
      </c>
      <c r="N616" s="8">
        <v>0</v>
      </c>
      <c r="O616" s="8">
        <v>0</v>
      </c>
      <c r="P616" s="8">
        <v>0</v>
      </c>
      <c r="Q616" s="8">
        <v>0</v>
      </c>
      <c r="R616" s="8">
        <v>0</v>
      </c>
      <c r="T616" s="12">
        <v>0</v>
      </c>
    </row>
    <row r="617" spans="1:20">
      <c r="A617" s="4" t="s">
        <v>256</v>
      </c>
      <c r="B617" s="9">
        <v>-0</v>
      </c>
      <c r="C617" s="9">
        <v>0</v>
      </c>
      <c r="D617" s="9">
        <v>0</v>
      </c>
      <c r="E617" s="9">
        <v>0</v>
      </c>
      <c r="F617" s="9">
        <v>0</v>
      </c>
      <c r="H617" s="9">
        <v>0</v>
      </c>
      <c r="I617" s="9">
        <v>0</v>
      </c>
      <c r="J617" s="9">
        <v>0</v>
      </c>
      <c r="K617" s="9">
        <v>0</v>
      </c>
      <c r="L617" s="9">
        <v>0</v>
      </c>
      <c r="N617" s="8">
        <v>0</v>
      </c>
      <c r="O617" s="8">
        <v>0</v>
      </c>
      <c r="P617" s="8">
        <v>0</v>
      </c>
      <c r="Q617" s="8">
        <v>0</v>
      </c>
      <c r="R617" s="8">
        <v>0</v>
      </c>
      <c r="T617" s="12">
        <v>0</v>
      </c>
    </row>
    <row r="618" spans="1:20">
      <c r="A618" s="4" t="s">
        <v>390</v>
      </c>
      <c r="B618" s="9">
        <v>0</v>
      </c>
      <c r="C618" s="9">
        <v>1240.273972602741</v>
      </c>
      <c r="D618" s="9">
        <v>1489.817095890412</v>
      </c>
      <c r="E618" s="9">
        <v>1789.56829558356</v>
      </c>
      <c r="F618" s="9">
        <v>2149.629436654979</v>
      </c>
      <c r="H618" s="9">
        <v>0</v>
      </c>
      <c r="I618" s="9">
        <v>0</v>
      </c>
      <c r="J618" s="9">
        <v>0</v>
      </c>
      <c r="K618" s="9">
        <v>0</v>
      </c>
      <c r="L618" s="9">
        <v>0</v>
      </c>
      <c r="N618" s="8">
        <v>0</v>
      </c>
      <c r="O618" s="8">
        <v>0</v>
      </c>
      <c r="P618" s="8">
        <v>0</v>
      </c>
      <c r="Q618" s="8">
        <v>0</v>
      </c>
      <c r="R618" s="8">
        <v>0</v>
      </c>
      <c r="T618" s="12">
        <v>0</v>
      </c>
    </row>
    <row r="619" spans="1:20">
      <c r="A619" s="4" t="s">
        <v>439</v>
      </c>
      <c r="B619" s="9">
        <v>0</v>
      </c>
      <c r="C619" s="9">
        <v>-19947.90786301372</v>
      </c>
      <c r="D619" s="9">
        <v>-18575.60330047673</v>
      </c>
      <c r="E619" s="9">
        <v>-16895.47400125405</v>
      </c>
      <c r="F619" s="9">
        <v>-14901.34919174235</v>
      </c>
      <c r="H619" s="9">
        <v>0</v>
      </c>
      <c r="I619" s="9">
        <v>0</v>
      </c>
      <c r="J619" s="9">
        <v>0</v>
      </c>
      <c r="K619" s="9">
        <v>0</v>
      </c>
      <c r="L619" s="9">
        <v>0</v>
      </c>
      <c r="N619" s="8">
        <v>0</v>
      </c>
      <c r="O619" s="8">
        <v>0</v>
      </c>
      <c r="P619" s="8">
        <v>0</v>
      </c>
      <c r="Q619" s="8">
        <v>0</v>
      </c>
      <c r="R619" s="8">
        <v>0</v>
      </c>
      <c r="T619" s="12">
        <v>0</v>
      </c>
    </row>
    <row r="620" spans="1:20">
      <c r="A620" s="4" t="s">
        <v>388</v>
      </c>
      <c r="B620" s="9">
        <v>0</v>
      </c>
      <c r="C620" s="9">
        <v>-114.1963654506112</v>
      </c>
      <c r="D620" s="9">
        <v>-1121.121706331122</v>
      </c>
      <c r="E620" s="9">
        <v>-2215.382854947695</v>
      </c>
      <c r="F620" s="9">
        <v>-3287.596871901892</v>
      </c>
      <c r="H620" s="9">
        <v>0</v>
      </c>
      <c r="I620" s="9">
        <v>0</v>
      </c>
      <c r="J620" s="9">
        <v>0</v>
      </c>
      <c r="K620" s="9">
        <v>0</v>
      </c>
      <c r="L620" s="9">
        <v>0</v>
      </c>
      <c r="N620" s="8">
        <v>0</v>
      </c>
      <c r="O620" s="8">
        <v>0</v>
      </c>
      <c r="P620" s="8">
        <v>0</v>
      </c>
      <c r="Q620" s="8">
        <v>0</v>
      </c>
      <c r="R620" s="8">
        <v>0</v>
      </c>
      <c r="T620" s="12">
        <v>0</v>
      </c>
    </row>
    <row r="621" spans="1:20">
      <c r="A621" s="4" t="s">
        <v>392</v>
      </c>
      <c r="B621" s="9">
        <v>0</v>
      </c>
      <c r="C621" s="9">
        <v>-20062.10422846433</v>
      </c>
      <c r="D621" s="9">
        <v>-19696.72500680786</v>
      </c>
      <c r="E621" s="9">
        <v>-19110.85685620175</v>
      </c>
      <c r="F621" s="9">
        <v>-18188.94606364424</v>
      </c>
      <c r="H621" s="9">
        <v>0</v>
      </c>
      <c r="I621" s="9">
        <v>0</v>
      </c>
      <c r="J621" s="9">
        <v>0</v>
      </c>
      <c r="K621" s="9">
        <v>0</v>
      </c>
      <c r="L621" s="9">
        <v>0</v>
      </c>
      <c r="N621" s="8">
        <v>0</v>
      </c>
      <c r="O621" s="8">
        <v>0</v>
      </c>
      <c r="P621" s="8">
        <v>0</v>
      </c>
      <c r="Q621" s="8">
        <v>0</v>
      </c>
      <c r="R621" s="8">
        <v>0</v>
      </c>
      <c r="T621" s="12">
        <v>0</v>
      </c>
    </row>
    <row r="622" spans="1:20">
      <c r="A622" s="4" t="s">
        <v>442</v>
      </c>
      <c r="B622" s="9">
        <v>16500</v>
      </c>
      <c r="C622" s="9">
        <v>-3562.104228464326</v>
      </c>
      <c r="D622" s="9">
        <v>-23258.82923527218</v>
      </c>
      <c r="E622" s="9">
        <v>-42369.68609147393</v>
      </c>
      <c r="F622" s="9">
        <v>-60558.63215511818</v>
      </c>
      <c r="H622" s="9">
        <v>0</v>
      </c>
      <c r="I622" s="9">
        <v>0</v>
      </c>
      <c r="J622" s="9">
        <v>0</v>
      </c>
      <c r="K622" s="9">
        <v>0</v>
      </c>
      <c r="L622" s="9">
        <v>0</v>
      </c>
      <c r="N622" s="8">
        <v>0</v>
      </c>
      <c r="O622" s="8">
        <v>0</v>
      </c>
      <c r="P622" s="8">
        <v>0</v>
      </c>
      <c r="Q622" s="8">
        <v>0</v>
      </c>
      <c r="R622" s="8">
        <v>0</v>
      </c>
      <c r="T622" s="12">
        <v>0</v>
      </c>
    </row>
    <row r="623" spans="1:20">
      <c r="A623" s="4" t="s">
        <v>444</v>
      </c>
      <c r="B623" s="9">
        <v>10335.61643835616</v>
      </c>
      <c r="C623" s="9">
        <v>-10966.7617627109</v>
      </c>
      <c r="D623" s="9">
        <v>-32153.30386540917</v>
      </c>
      <c r="E623" s="9">
        <v>-53053.72901719448</v>
      </c>
      <c r="F623" s="9">
        <v>-73392.3045174937</v>
      </c>
      <c r="H623" s="9">
        <v>0</v>
      </c>
      <c r="I623" s="9">
        <v>0</v>
      </c>
      <c r="J623" s="9">
        <v>0</v>
      </c>
      <c r="K623" s="9">
        <v>0</v>
      </c>
      <c r="L623" s="9">
        <v>0</v>
      </c>
      <c r="N623" s="8">
        <v>0</v>
      </c>
      <c r="O623" s="8">
        <v>0</v>
      </c>
      <c r="P623" s="8">
        <v>0</v>
      </c>
      <c r="Q623" s="8">
        <v>0</v>
      </c>
      <c r="R623" s="8">
        <v>0</v>
      </c>
      <c r="T623" s="12">
        <v>0</v>
      </c>
    </row>
    <row r="624" spans="1:20">
      <c r="A624" s="4" t="s">
        <v>247</v>
      </c>
      <c r="B624" s="9">
        <v>10335.61643835616</v>
      </c>
      <c r="C624" s="9">
        <v>0</v>
      </c>
      <c r="D624" s="9">
        <v>0</v>
      </c>
      <c r="E624" s="9">
        <v>0</v>
      </c>
      <c r="F624" s="9">
        <v>0</v>
      </c>
      <c r="H624" s="9">
        <v>0</v>
      </c>
      <c r="I624" s="9">
        <v>0</v>
      </c>
      <c r="J624" s="9">
        <v>0</v>
      </c>
      <c r="K624" s="9">
        <v>0</v>
      </c>
      <c r="L624" s="9">
        <v>0</v>
      </c>
      <c r="N624" s="8">
        <v>0</v>
      </c>
      <c r="O624" s="8">
        <v>0</v>
      </c>
      <c r="P624" s="8">
        <v>0</v>
      </c>
      <c r="Q624" s="8">
        <v>0</v>
      </c>
      <c r="R624" s="8">
        <v>0</v>
      </c>
      <c r="T624" s="12">
        <v>0</v>
      </c>
    </row>
    <row r="625" spans="1:20">
      <c r="A625" s="4" t="s">
        <v>253</v>
      </c>
      <c r="B625" s="9">
        <v>0</v>
      </c>
      <c r="C625" s="9">
        <v>10966.7617627109</v>
      </c>
      <c r="D625" s="9">
        <v>32153.30386540917</v>
      </c>
      <c r="E625" s="9">
        <v>53053.72901719448</v>
      </c>
      <c r="F625" s="9">
        <v>73392.3045174937</v>
      </c>
      <c r="H625" s="9">
        <v>0</v>
      </c>
      <c r="I625" s="9">
        <v>0</v>
      </c>
      <c r="J625" s="9">
        <v>0</v>
      </c>
      <c r="K625" s="9">
        <v>0</v>
      </c>
      <c r="L625" s="9">
        <v>0</v>
      </c>
      <c r="N625" s="8">
        <v>0</v>
      </c>
      <c r="O625" s="8">
        <v>0</v>
      </c>
      <c r="P625" s="8">
        <v>0</v>
      </c>
      <c r="Q625" s="8">
        <v>0</v>
      </c>
      <c r="R625" s="8">
        <v>0</v>
      </c>
      <c r="T625" s="12">
        <v>0</v>
      </c>
    </row>
    <row r="626" spans="1:20">
      <c r="A626" s="4" t="s">
        <v>446</v>
      </c>
      <c r="B626" s="9">
        <v>0</v>
      </c>
      <c r="C626" s="9">
        <v>10335.61643835616</v>
      </c>
      <c r="D626" s="9">
        <v>-10966.7617627109</v>
      </c>
      <c r="E626" s="9">
        <v>-32153.30386540917</v>
      </c>
      <c r="F626" s="9">
        <v>-53053.72901719448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N626" s="8">
        <v>0</v>
      </c>
      <c r="O626" s="8">
        <v>0</v>
      </c>
      <c r="P626" s="8">
        <v>0</v>
      </c>
      <c r="Q626" s="8">
        <v>0</v>
      </c>
      <c r="R626" s="8">
        <v>0</v>
      </c>
      <c r="T626" s="12">
        <v>0</v>
      </c>
    </row>
    <row r="627" spans="1:20">
      <c r="A627" s="4" t="s">
        <v>448</v>
      </c>
      <c r="B627" s="9">
        <v>0</v>
      </c>
      <c r="C627" s="9">
        <v>10335.61643835616</v>
      </c>
      <c r="D627" s="9">
        <v>0</v>
      </c>
      <c r="E627" s="9">
        <v>0</v>
      </c>
      <c r="F627" s="9">
        <v>0</v>
      </c>
      <c r="H627" s="9">
        <v>0</v>
      </c>
      <c r="I627" s="9">
        <v>0</v>
      </c>
      <c r="J627" s="9">
        <v>0</v>
      </c>
      <c r="K627" s="9">
        <v>0</v>
      </c>
      <c r="L627" s="9">
        <v>0</v>
      </c>
      <c r="N627" s="8">
        <v>0</v>
      </c>
      <c r="O627" s="8">
        <v>0</v>
      </c>
      <c r="P627" s="8">
        <v>0</v>
      </c>
      <c r="Q627" s="8">
        <v>0</v>
      </c>
      <c r="R627" s="8">
        <v>0</v>
      </c>
      <c r="T627" s="12">
        <v>0</v>
      </c>
    </row>
    <row r="628" spans="1:20">
      <c r="A628" s="4" t="s">
        <v>450</v>
      </c>
      <c r="B628" s="9">
        <v>0</v>
      </c>
      <c r="C628" s="9">
        <v>0</v>
      </c>
      <c r="D628" s="9">
        <v>10966.7617627109</v>
      </c>
      <c r="E628" s="9">
        <v>32153.30386540917</v>
      </c>
      <c r="F628" s="9">
        <v>53053.72901719448</v>
      </c>
      <c r="H628" s="9">
        <v>0</v>
      </c>
      <c r="I628" s="9">
        <v>0</v>
      </c>
      <c r="J628" s="9">
        <v>0</v>
      </c>
      <c r="K628" s="9">
        <v>0</v>
      </c>
      <c r="L628" s="9">
        <v>0</v>
      </c>
      <c r="N628" s="8">
        <v>0</v>
      </c>
      <c r="O628" s="8">
        <v>0</v>
      </c>
      <c r="P628" s="8">
        <v>0</v>
      </c>
      <c r="Q628" s="8">
        <v>0</v>
      </c>
      <c r="R628" s="8">
        <v>0</v>
      </c>
      <c r="T628" s="12">
        <v>0</v>
      </c>
    </row>
    <row r="629" spans="1:20">
      <c r="A629" s="4" t="s">
        <v>452</v>
      </c>
      <c r="B629" s="9">
        <v>0</v>
      </c>
      <c r="C629" s="9">
        <v>21302.37820106707</v>
      </c>
      <c r="D629" s="9">
        <v>43120.06562812008</v>
      </c>
      <c r="E629" s="9">
        <v>85207.03288260364</v>
      </c>
      <c r="F629" s="9">
        <v>126446.0335346882</v>
      </c>
      <c r="H629" s="9">
        <v>0</v>
      </c>
      <c r="I629" s="9">
        <v>0</v>
      </c>
      <c r="J629" s="9">
        <v>0</v>
      </c>
      <c r="K629" s="9">
        <v>0</v>
      </c>
      <c r="L629" s="9">
        <v>0</v>
      </c>
      <c r="N629" s="8">
        <v>0</v>
      </c>
      <c r="O629" s="8">
        <v>0</v>
      </c>
      <c r="P629" s="8">
        <v>0</v>
      </c>
      <c r="Q629" s="8">
        <v>0</v>
      </c>
      <c r="R629" s="8">
        <v>0</v>
      </c>
      <c r="T629" s="12">
        <v>0</v>
      </c>
    </row>
    <row r="630" spans="1:20">
      <c r="A630" s="4" t="s">
        <v>454</v>
      </c>
      <c r="B630" s="9">
        <v>0</v>
      </c>
      <c r="C630" s="9">
        <v>2507.348385061231</v>
      </c>
      <c r="D630" s="9">
        <v>0</v>
      </c>
      <c r="E630" s="9">
        <v>0</v>
      </c>
      <c r="F630" s="9">
        <v>0</v>
      </c>
      <c r="H630" s="9">
        <v>0</v>
      </c>
      <c r="I630" s="9">
        <v>0</v>
      </c>
      <c r="J630" s="9">
        <v>0</v>
      </c>
      <c r="K630" s="9">
        <v>0</v>
      </c>
      <c r="L630" s="9">
        <v>0</v>
      </c>
      <c r="N630" s="8">
        <v>0</v>
      </c>
      <c r="O630" s="8">
        <v>0</v>
      </c>
      <c r="P630" s="8">
        <v>0</v>
      </c>
      <c r="Q630" s="8">
        <v>0</v>
      </c>
      <c r="R630" s="8">
        <v>0</v>
      </c>
      <c r="T630" s="12">
        <v>0</v>
      </c>
    </row>
    <row r="631" spans="1:20">
      <c r="A631" s="4" t="s">
        <v>456</v>
      </c>
      <c r="B631" s="9">
        <v>0</v>
      </c>
      <c r="C631" s="9">
        <v>2822.9210472386</v>
      </c>
      <c r="D631" s="9">
        <v>21560.03281406004</v>
      </c>
      <c r="E631" s="9">
        <v>42603.51644130182</v>
      </c>
      <c r="F631" s="9">
        <v>63223.01676734409</v>
      </c>
      <c r="H631" s="9">
        <v>0</v>
      </c>
      <c r="I631" s="9">
        <v>0</v>
      </c>
      <c r="J631" s="9">
        <v>0</v>
      </c>
      <c r="K631" s="9">
        <v>0</v>
      </c>
      <c r="L631" s="9">
        <v>0</v>
      </c>
      <c r="N631" s="8">
        <v>0</v>
      </c>
      <c r="O631" s="8">
        <v>0</v>
      </c>
      <c r="P631" s="8">
        <v>0</v>
      </c>
      <c r="Q631" s="8">
        <v>0</v>
      </c>
      <c r="R631" s="8">
        <v>0</v>
      </c>
      <c r="T631" s="12">
        <v>0</v>
      </c>
    </row>
    <row r="632" spans="1:20">
      <c r="A632" s="4" t="s">
        <v>458</v>
      </c>
      <c r="B632" s="9">
        <v>0</v>
      </c>
      <c r="C632" s="9">
        <v>50.14696770122463</v>
      </c>
      <c r="D632" s="9">
        <v>0</v>
      </c>
      <c r="E632" s="9">
        <v>0</v>
      </c>
      <c r="F632" s="9">
        <v>0</v>
      </c>
      <c r="H632" s="9">
        <v>0</v>
      </c>
      <c r="I632" s="9">
        <v>0</v>
      </c>
      <c r="J632" s="9">
        <v>0</v>
      </c>
      <c r="K632" s="9">
        <v>0</v>
      </c>
      <c r="L632" s="9">
        <v>0</v>
      </c>
      <c r="N632" s="8">
        <v>0</v>
      </c>
      <c r="O632" s="8">
        <v>0</v>
      </c>
      <c r="P632" s="8">
        <v>0</v>
      </c>
      <c r="Q632" s="8">
        <v>0</v>
      </c>
      <c r="R632" s="8">
        <v>0</v>
      </c>
      <c r="T632" s="12">
        <v>0</v>
      </c>
    </row>
    <row r="633" spans="1:20">
      <c r="A633" s="4" t="s">
        <v>460</v>
      </c>
      <c r="B633" s="9">
        <v>0</v>
      </c>
      <c r="C633" s="9">
        <v>225.833683779088</v>
      </c>
      <c r="D633" s="9">
        <v>1724.802625124803</v>
      </c>
      <c r="E633" s="9">
        <v>3408.281315304146</v>
      </c>
      <c r="F633" s="9">
        <v>5057.841341387527</v>
      </c>
      <c r="H633" s="9">
        <v>0</v>
      </c>
      <c r="I633" s="9">
        <v>0</v>
      </c>
      <c r="J633" s="9">
        <v>0</v>
      </c>
      <c r="K633" s="9">
        <v>0</v>
      </c>
      <c r="L633" s="9">
        <v>0</v>
      </c>
      <c r="N633" s="8">
        <v>0</v>
      </c>
      <c r="O633" s="8">
        <v>0</v>
      </c>
      <c r="P633" s="8">
        <v>0</v>
      </c>
      <c r="Q633" s="8">
        <v>0</v>
      </c>
      <c r="R633" s="8">
        <v>0</v>
      </c>
      <c r="T633" s="12">
        <v>0</v>
      </c>
    </row>
    <row r="634" spans="1:20">
      <c r="A634" s="4" t="s">
        <v>462</v>
      </c>
      <c r="B634" s="9">
        <v>0</v>
      </c>
      <c r="C634" s="9">
        <v>-175.6867160778634</v>
      </c>
      <c r="D634" s="9">
        <v>-1724.802625124803</v>
      </c>
      <c r="E634" s="9">
        <v>-3408.281315304146</v>
      </c>
      <c r="F634" s="9">
        <v>-5057.841341387527</v>
      </c>
      <c r="H634" s="9">
        <v>0</v>
      </c>
      <c r="I634" s="9">
        <v>0</v>
      </c>
      <c r="J634" s="9">
        <v>0</v>
      </c>
      <c r="K634" s="9">
        <v>0</v>
      </c>
      <c r="L634" s="9">
        <v>0</v>
      </c>
      <c r="N634" s="8">
        <v>0</v>
      </c>
      <c r="O634" s="8">
        <v>0</v>
      </c>
      <c r="P634" s="8">
        <v>0</v>
      </c>
      <c r="Q634" s="8">
        <v>0</v>
      </c>
      <c r="R634" s="8">
        <v>0</v>
      </c>
      <c r="T634" s="12">
        <v>0</v>
      </c>
    </row>
    <row r="635" spans="1:20">
      <c r="A635" s="4" t="s">
        <v>464</v>
      </c>
      <c r="B635" s="9">
        <v>0</v>
      </c>
      <c r="C635" s="9">
        <v>1</v>
      </c>
      <c r="D635" s="9">
        <v>1</v>
      </c>
      <c r="E635" s="9">
        <v>1</v>
      </c>
      <c r="F635" s="9">
        <v>1</v>
      </c>
      <c r="H635" s="9">
        <v>0</v>
      </c>
      <c r="I635" s="9">
        <v>0</v>
      </c>
      <c r="J635" s="9">
        <v>0</v>
      </c>
      <c r="K635" s="9">
        <v>0</v>
      </c>
      <c r="L635" s="9">
        <v>0</v>
      </c>
      <c r="N635" s="8">
        <v>0</v>
      </c>
      <c r="O635" s="8">
        <v>0</v>
      </c>
      <c r="P635" s="8">
        <v>0</v>
      </c>
      <c r="Q635" s="8">
        <v>0</v>
      </c>
      <c r="R635" s="8">
        <v>0</v>
      </c>
      <c r="T635" s="12">
        <v>0</v>
      </c>
    </row>
    <row r="636" spans="1:20">
      <c r="A636" s="4" t="s">
        <v>466</v>
      </c>
      <c r="B636" s="9">
        <f>NA()</f>
        <v>0</v>
      </c>
      <c r="C636" s="9">
        <v>2478.309863013702</v>
      </c>
      <c r="D636" s="9">
        <v>3035.998520876714</v>
      </c>
      <c r="E636" s="9">
        <v>3637.988236903458</v>
      </c>
      <c r="F636" s="9">
        <v>4359.623785604277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  <c r="N636" s="8">
        <v>0</v>
      </c>
      <c r="O636" s="8">
        <v>0</v>
      </c>
      <c r="P636" s="8">
        <v>0</v>
      </c>
      <c r="Q636" s="8">
        <v>0</v>
      </c>
      <c r="R636" s="8">
        <v>0</v>
      </c>
      <c r="T636" s="12">
        <v>0</v>
      </c>
    </row>
    <row r="637" spans="1:20">
      <c r="A637" s="4" t="s">
        <v>468</v>
      </c>
      <c r="B637" s="9">
        <v>0</v>
      </c>
      <c r="C637" s="9">
        <v>-20062.10422846432</v>
      </c>
      <c r="D637" s="9">
        <v>-19696.72500680786</v>
      </c>
      <c r="E637" s="9">
        <v>-19110.85685620175</v>
      </c>
      <c r="F637" s="9">
        <v>-18188.94606364425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N637" s="8">
        <v>0</v>
      </c>
      <c r="O637" s="8">
        <v>0</v>
      </c>
      <c r="P637" s="8">
        <v>0</v>
      </c>
      <c r="Q637" s="8">
        <v>0</v>
      </c>
      <c r="R637" s="8">
        <v>0</v>
      </c>
      <c r="T637" s="12">
        <v>0</v>
      </c>
    </row>
    <row r="638" spans="1:20">
      <c r="A638" s="4" t="s">
        <v>472</v>
      </c>
      <c r="B638" s="9">
        <v>0</v>
      </c>
      <c r="C638" s="9">
        <v>-20062.10422846433</v>
      </c>
      <c r="D638" s="9">
        <v>-19696.72500680786</v>
      </c>
      <c r="E638" s="9">
        <v>-19110.85685620175</v>
      </c>
      <c r="F638" s="9">
        <v>-18188.94606364425</v>
      </c>
      <c r="H638" s="9">
        <v>0</v>
      </c>
      <c r="I638" s="9">
        <v>0</v>
      </c>
      <c r="J638" s="9">
        <v>0</v>
      </c>
      <c r="K638" s="9">
        <v>0</v>
      </c>
      <c r="L638" s="9">
        <v>0</v>
      </c>
      <c r="N638" s="8">
        <v>0</v>
      </c>
      <c r="O638" s="8">
        <v>0</v>
      </c>
      <c r="P638" s="8">
        <v>0</v>
      </c>
      <c r="Q638" s="8">
        <v>0</v>
      </c>
      <c r="R638" s="8">
        <v>0</v>
      </c>
      <c r="T638" s="12">
        <v>0</v>
      </c>
    </row>
    <row r="639" spans="1:20">
      <c r="A639" s="4" t="s">
        <v>476</v>
      </c>
      <c r="B639" s="9">
        <v>0</v>
      </c>
      <c r="C639" s="9">
        <v>0</v>
      </c>
      <c r="D639" s="9">
        <v>0</v>
      </c>
      <c r="E639" s="9">
        <v>0</v>
      </c>
      <c r="F639" s="9">
        <v>0</v>
      </c>
      <c r="H639" s="9">
        <v>0</v>
      </c>
      <c r="I639" s="9">
        <v>0</v>
      </c>
      <c r="J639" s="9">
        <v>0</v>
      </c>
      <c r="K639" s="9">
        <v>0</v>
      </c>
      <c r="L639" s="9">
        <v>0</v>
      </c>
      <c r="N639" s="8">
        <v>0</v>
      </c>
      <c r="O639" s="8">
        <v>0</v>
      </c>
      <c r="P639" s="8">
        <v>0</v>
      </c>
      <c r="Q639" s="8">
        <v>0</v>
      </c>
      <c r="R639" s="8">
        <v>0</v>
      </c>
      <c r="T639" s="12">
        <v>0</v>
      </c>
    </row>
    <row r="640" spans="1:20">
      <c r="A640" s="4" t="s">
        <v>478</v>
      </c>
      <c r="B640" s="9">
        <v>0</v>
      </c>
      <c r="C640" s="9">
        <v>0</v>
      </c>
      <c r="D640" s="9">
        <v>0</v>
      </c>
      <c r="E640" s="9">
        <v>0</v>
      </c>
      <c r="F640" s="9">
        <v>0</v>
      </c>
      <c r="H640" s="9">
        <v>0</v>
      </c>
      <c r="I640" s="9">
        <v>0</v>
      </c>
      <c r="J640" s="9">
        <v>0</v>
      </c>
      <c r="K640" s="9">
        <v>0</v>
      </c>
      <c r="L640" s="9">
        <v>0</v>
      </c>
      <c r="N640" s="8">
        <v>0</v>
      </c>
      <c r="O640" s="8">
        <v>0</v>
      </c>
      <c r="P640" s="8">
        <v>0</v>
      </c>
      <c r="Q640" s="8">
        <v>0</v>
      </c>
      <c r="R640" s="8">
        <v>0</v>
      </c>
      <c r="T640" s="12">
        <v>0</v>
      </c>
    </row>
    <row r="641" spans="1:20">
      <c r="A641" s="4" t="s">
        <v>480</v>
      </c>
      <c r="B641" s="9">
        <v>0</v>
      </c>
      <c r="C641" s="9">
        <v>0</v>
      </c>
      <c r="D641" s="9">
        <v>0</v>
      </c>
      <c r="E641" s="9">
        <v>0</v>
      </c>
      <c r="F641" s="9">
        <v>0</v>
      </c>
      <c r="H641" s="9">
        <v>0</v>
      </c>
      <c r="I641" s="9">
        <v>0</v>
      </c>
      <c r="J641" s="9">
        <v>0</v>
      </c>
      <c r="K641" s="9">
        <v>0</v>
      </c>
      <c r="L641" s="9">
        <v>0</v>
      </c>
      <c r="N641" s="8">
        <v>0</v>
      </c>
      <c r="O641" s="8">
        <v>0</v>
      </c>
      <c r="P641" s="8">
        <v>0</v>
      </c>
      <c r="Q641" s="8">
        <v>0</v>
      </c>
      <c r="R641" s="8">
        <v>0</v>
      </c>
      <c r="T641" s="12">
        <v>0</v>
      </c>
    </row>
    <row r="642" spans="1:20">
      <c r="A642" s="4" t="s">
        <v>482</v>
      </c>
      <c r="B642" s="9">
        <v>0</v>
      </c>
      <c r="C642" s="9">
        <v>0</v>
      </c>
      <c r="D642" s="9">
        <v>0</v>
      </c>
      <c r="E642" s="9">
        <v>0</v>
      </c>
      <c r="F642" s="9">
        <v>0</v>
      </c>
      <c r="H642" s="9">
        <v>0</v>
      </c>
      <c r="I642" s="9">
        <v>0</v>
      </c>
      <c r="J642" s="9">
        <v>0</v>
      </c>
      <c r="K642" s="9">
        <v>0</v>
      </c>
      <c r="L642" s="9">
        <v>0</v>
      </c>
      <c r="N642" s="8">
        <v>0</v>
      </c>
      <c r="O642" s="8">
        <v>0</v>
      </c>
      <c r="P642" s="8">
        <v>0</v>
      </c>
      <c r="Q642" s="8">
        <v>0</v>
      </c>
      <c r="R642" s="8">
        <v>0</v>
      </c>
      <c r="T642" s="12">
        <v>0</v>
      </c>
    </row>
    <row r="643" spans="1:20">
      <c r="A643" s="4" t="s">
        <v>484</v>
      </c>
      <c r="B643" s="9">
        <v>0</v>
      </c>
      <c r="C643" s="9">
        <v>0</v>
      </c>
      <c r="D643" s="9">
        <v>0</v>
      </c>
      <c r="E643" s="9">
        <v>0</v>
      </c>
      <c r="F643" s="9">
        <v>0</v>
      </c>
      <c r="H643" s="9">
        <v>0</v>
      </c>
      <c r="I643" s="9">
        <v>0</v>
      </c>
      <c r="J643" s="9">
        <v>0</v>
      </c>
      <c r="K643" s="9">
        <v>0</v>
      </c>
      <c r="L643" s="9">
        <v>0</v>
      </c>
      <c r="N643" s="8">
        <v>0</v>
      </c>
      <c r="O643" s="8">
        <v>0</v>
      </c>
      <c r="P643" s="8">
        <v>0</v>
      </c>
      <c r="Q643" s="8">
        <v>0</v>
      </c>
      <c r="R643" s="8">
        <v>0</v>
      </c>
      <c r="T643" s="12">
        <v>0</v>
      </c>
    </row>
    <row r="644" spans="1:20">
      <c r="A644" s="4" t="s">
        <v>486</v>
      </c>
      <c r="B644" s="9">
        <v>0</v>
      </c>
      <c r="C644" s="9">
        <v>0</v>
      </c>
      <c r="D644" s="9">
        <v>0</v>
      </c>
      <c r="E644" s="9">
        <v>0</v>
      </c>
      <c r="F644" s="9">
        <v>0</v>
      </c>
      <c r="H644" s="9">
        <v>0</v>
      </c>
      <c r="I644" s="9">
        <v>0</v>
      </c>
      <c r="J644" s="9">
        <v>0</v>
      </c>
      <c r="K644" s="9">
        <v>0</v>
      </c>
      <c r="L644" s="9">
        <v>0</v>
      </c>
      <c r="N644" s="8">
        <v>0</v>
      </c>
      <c r="O644" s="8">
        <v>0</v>
      </c>
      <c r="P644" s="8">
        <v>0</v>
      </c>
      <c r="Q644" s="8">
        <v>0</v>
      </c>
      <c r="R644" s="8">
        <v>0</v>
      </c>
      <c r="T644" s="12">
        <v>0</v>
      </c>
    </row>
    <row r="647" spans="1:20">
      <c r="A647" s="3" t="s">
        <v>682</v>
      </c>
      <c r="B647" s="4" t="s">
        <v>619</v>
      </c>
      <c r="C647" s="8">
        <f>FN.MAXDEV(SCF_deleverage, SCF_deleverageExp)</f>
        <v>0</v>
      </c>
      <c r="D647" s="12">
        <f>IF(FN.MAXDEV(SCF_deleverage, SCF_deleverageExp) &lt;= Tol, "PASS", "FAIL")</f>
        <v/>
      </c>
    </row>
    <row r="648" spans="1:20">
      <c r="A648" s="3" t="s">
        <v>5</v>
      </c>
      <c r="B648" s="3" t="s">
        <v>620</v>
      </c>
      <c r="C648" s="3" t="s">
        <v>623</v>
      </c>
      <c r="D648" s="3" t="s">
        <v>626</v>
      </c>
      <c r="E648" s="3" t="s">
        <v>629</v>
      </c>
      <c r="F648" s="3" t="s">
        <v>632</v>
      </c>
      <c r="H648" s="3" t="s">
        <v>621</v>
      </c>
      <c r="I648" s="3" t="s">
        <v>624</v>
      </c>
      <c r="J648" s="3" t="s">
        <v>627</v>
      </c>
      <c r="K648" s="3" t="s">
        <v>630</v>
      </c>
      <c r="L648" s="3" t="s">
        <v>633</v>
      </c>
      <c r="N648" s="3" t="s">
        <v>622</v>
      </c>
      <c r="O648" s="3" t="s">
        <v>625</v>
      </c>
      <c r="P648" s="3" t="s">
        <v>628</v>
      </c>
      <c r="Q648" s="3" t="s">
        <v>631</v>
      </c>
      <c r="R648" s="3" t="s">
        <v>634</v>
      </c>
      <c r="T648" s="3" t="s">
        <v>635</v>
      </c>
    </row>
    <row r="649" spans="1:20">
      <c r="A649" s="4" t="s">
        <v>382</v>
      </c>
      <c r="B649" s="9">
        <v>0</v>
      </c>
      <c r="C649" s="9">
        <v>-21188.18183561646</v>
      </c>
      <c r="D649" s="9">
        <v>-20065.42039636715</v>
      </c>
      <c r="E649" s="9">
        <v>-18685.04229683761</v>
      </c>
      <c r="F649" s="9">
        <v>-17050.97862839733</v>
      </c>
      <c r="H649" s="9" cm="1">
        <f t="array" ref="H649:L679">SCF_deleverage</f>
        <v>0</v>
      </c>
      <c r="I649" s="9">
        <v>0</v>
      </c>
      <c r="J649" s="9">
        <v>0</v>
      </c>
      <c r="K649" s="9">
        <v>0</v>
      </c>
      <c r="L649" s="9">
        <v>0</v>
      </c>
      <c r="N649" s="8" cm="1">
        <f t="array" ref="N649:R679">FN.DEV(SCF_deleverage, SCF_deleverageExp)</f>
        <v>0</v>
      </c>
      <c r="O649" s="8">
        <v>0</v>
      </c>
      <c r="P649" s="8">
        <v>0</v>
      </c>
      <c r="Q649" s="8">
        <v>0</v>
      </c>
      <c r="R649" s="8">
        <v>0</v>
      </c>
      <c r="T649" s="12" cm="1">
        <f t="array" ref="T649:T679">_xlfn.BYROW(FN.DEV(SCF_deleverage, SCF_deleverageExp), _xlfn.LAMBDA(_xlpm.dev_row, IF(MAX(_xlpm.dev_row) &lt;= Tol, "PASS", "FAIL")))</f>
        <v>0</v>
      </c>
    </row>
    <row r="650" spans="1:20">
      <c r="A650" s="4" t="s">
        <v>258</v>
      </c>
      <c r="B650" s="9">
        <v>0</v>
      </c>
      <c r="C650" s="9">
        <v>0</v>
      </c>
      <c r="D650" s="9">
        <v>0</v>
      </c>
      <c r="E650" s="9">
        <v>0</v>
      </c>
      <c r="F650" s="9">
        <v>0</v>
      </c>
      <c r="H650" s="9">
        <v>0</v>
      </c>
      <c r="I650" s="9">
        <v>0</v>
      </c>
      <c r="J650" s="9">
        <v>0</v>
      </c>
      <c r="K650" s="9">
        <v>0</v>
      </c>
      <c r="L650" s="9">
        <v>0</v>
      </c>
      <c r="N650" s="8">
        <v>0</v>
      </c>
      <c r="O650" s="8">
        <v>0</v>
      </c>
      <c r="P650" s="8">
        <v>0</v>
      </c>
      <c r="Q650" s="8">
        <v>0</v>
      </c>
      <c r="R650" s="8">
        <v>0</v>
      </c>
      <c r="T650" s="12">
        <v>0</v>
      </c>
    </row>
    <row r="651" spans="1:20">
      <c r="A651" s="4" t="s">
        <v>256</v>
      </c>
      <c r="B651" s="9">
        <v>-0</v>
      </c>
      <c r="C651" s="9">
        <v>0</v>
      </c>
      <c r="D651" s="9">
        <v>0</v>
      </c>
      <c r="E651" s="9">
        <v>0</v>
      </c>
      <c r="F651" s="9">
        <v>0</v>
      </c>
      <c r="H651" s="9">
        <v>0</v>
      </c>
      <c r="I651" s="9">
        <v>0</v>
      </c>
      <c r="J651" s="9">
        <v>0</v>
      </c>
      <c r="K651" s="9">
        <v>0</v>
      </c>
      <c r="L651" s="9">
        <v>0</v>
      </c>
      <c r="N651" s="8">
        <v>0</v>
      </c>
      <c r="O651" s="8">
        <v>0</v>
      </c>
      <c r="P651" s="8">
        <v>0</v>
      </c>
      <c r="Q651" s="8">
        <v>0</v>
      </c>
      <c r="R651" s="8">
        <v>0</v>
      </c>
      <c r="T651" s="12">
        <v>0</v>
      </c>
    </row>
    <row r="652" spans="1:20">
      <c r="A652" s="4" t="s">
        <v>390</v>
      </c>
      <c r="B652" s="9">
        <v>0</v>
      </c>
      <c r="C652" s="9">
        <v>1240.273972602741</v>
      </c>
      <c r="D652" s="9">
        <v>1489.817095890412</v>
      </c>
      <c r="E652" s="9">
        <v>1789.56829558356</v>
      </c>
      <c r="F652" s="9">
        <v>2149.629436654979</v>
      </c>
      <c r="H652" s="9">
        <v>0</v>
      </c>
      <c r="I652" s="9">
        <v>0</v>
      </c>
      <c r="J652" s="9">
        <v>0</v>
      </c>
      <c r="K652" s="9">
        <v>0</v>
      </c>
      <c r="L652" s="9">
        <v>0</v>
      </c>
      <c r="N652" s="8">
        <v>0</v>
      </c>
      <c r="O652" s="8">
        <v>0</v>
      </c>
      <c r="P652" s="8">
        <v>0</v>
      </c>
      <c r="Q652" s="8">
        <v>0</v>
      </c>
      <c r="R652" s="8">
        <v>0</v>
      </c>
      <c r="T652" s="12">
        <v>0</v>
      </c>
    </row>
    <row r="653" spans="1:20">
      <c r="A653" s="4" t="s">
        <v>439</v>
      </c>
      <c r="B653" s="9">
        <v>0</v>
      </c>
      <c r="C653" s="9">
        <v>-19947.90786301372</v>
      </c>
      <c r="D653" s="9">
        <v>-18575.60330047673</v>
      </c>
      <c r="E653" s="9">
        <v>-16895.47400125405</v>
      </c>
      <c r="F653" s="9">
        <v>-14901.34919174235</v>
      </c>
      <c r="H653" s="9">
        <v>0</v>
      </c>
      <c r="I653" s="9">
        <v>0</v>
      </c>
      <c r="J653" s="9">
        <v>0</v>
      </c>
      <c r="K653" s="9">
        <v>0</v>
      </c>
      <c r="L653" s="9">
        <v>0</v>
      </c>
      <c r="N653" s="8">
        <v>0</v>
      </c>
      <c r="O653" s="8">
        <v>0</v>
      </c>
      <c r="P653" s="8">
        <v>0</v>
      </c>
      <c r="Q653" s="8">
        <v>0</v>
      </c>
      <c r="R653" s="8">
        <v>0</v>
      </c>
      <c r="T653" s="12">
        <v>0</v>
      </c>
    </row>
    <row r="654" spans="1:20">
      <c r="A654" s="4" t="s">
        <v>442</v>
      </c>
      <c r="B654" s="9">
        <v>16500</v>
      </c>
      <c r="C654" s="9">
        <v>-3559.662156047085</v>
      </c>
      <c r="D654" s="9">
        <v>-23227.11101072463</v>
      </c>
      <c r="E654" s="9">
        <v>-42278.71856502126</v>
      </c>
      <c r="F654" s="9">
        <v>-60377.45679862052</v>
      </c>
      <c r="H654" s="9">
        <v>0</v>
      </c>
      <c r="I654" s="9">
        <v>0</v>
      </c>
      <c r="J654" s="9">
        <v>0</v>
      </c>
      <c r="K654" s="9">
        <v>0</v>
      </c>
      <c r="L654" s="9">
        <v>0</v>
      </c>
      <c r="N654" s="8">
        <v>0</v>
      </c>
      <c r="O654" s="8">
        <v>0</v>
      </c>
      <c r="P654" s="8">
        <v>0</v>
      </c>
      <c r="Q654" s="8">
        <v>0</v>
      </c>
      <c r="R654" s="8">
        <v>0</v>
      </c>
      <c r="T654" s="12">
        <v>0</v>
      </c>
    </row>
    <row r="655" spans="1:20">
      <c r="A655" s="4" t="s">
        <v>476</v>
      </c>
      <c r="B655" s="9">
        <v>16500</v>
      </c>
      <c r="C655" s="9">
        <v>-3447.907863013716</v>
      </c>
      <c r="D655" s="9">
        <v>-22135.26545652382</v>
      </c>
      <c r="E655" s="9">
        <v>-40122.58501197868</v>
      </c>
      <c r="F655" s="9">
        <v>-57180.06775676362</v>
      </c>
      <c r="H655" s="9">
        <v>0</v>
      </c>
      <c r="I655" s="9">
        <v>0</v>
      </c>
      <c r="J655" s="9">
        <v>0</v>
      </c>
      <c r="K655" s="9">
        <v>0</v>
      </c>
      <c r="L655" s="9">
        <v>0</v>
      </c>
      <c r="N655" s="8">
        <v>0</v>
      </c>
      <c r="O655" s="8">
        <v>0</v>
      </c>
      <c r="P655" s="8">
        <v>0</v>
      </c>
      <c r="Q655" s="8">
        <v>0</v>
      </c>
      <c r="R655" s="8">
        <v>0</v>
      </c>
      <c r="T655" s="12">
        <v>0</v>
      </c>
    </row>
    <row r="656" spans="1:20">
      <c r="A656" s="4" t="s">
        <v>446</v>
      </c>
      <c r="B656" s="9">
        <v>0</v>
      </c>
      <c r="C656" s="9">
        <v>10335.61643835616</v>
      </c>
      <c r="D656" s="9">
        <v>-10964.31969029366</v>
      </c>
      <c r="E656" s="9">
        <v>-32121.58564086162</v>
      </c>
      <c r="F656" s="9">
        <v>-52962.76149074181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N656" s="8">
        <v>0</v>
      </c>
      <c r="O656" s="8">
        <v>0</v>
      </c>
      <c r="P656" s="8">
        <v>0</v>
      </c>
      <c r="Q656" s="8">
        <v>0</v>
      </c>
      <c r="R656" s="8">
        <v>0</v>
      </c>
      <c r="T656" s="12">
        <v>0</v>
      </c>
    </row>
    <row r="657" spans="1:20">
      <c r="A657" s="4" t="s">
        <v>478</v>
      </c>
      <c r="B657" s="9">
        <v>10335.61643835616</v>
      </c>
      <c r="C657" s="9">
        <v>-10852.56539726029</v>
      </c>
      <c r="D657" s="9">
        <v>-31029.74008666081</v>
      </c>
      <c r="E657" s="9">
        <v>-50806.62793769923</v>
      </c>
      <c r="F657" s="9">
        <v>-70013.74011913914</v>
      </c>
      <c r="H657" s="9">
        <v>0</v>
      </c>
      <c r="I657" s="9">
        <v>0</v>
      </c>
      <c r="J657" s="9">
        <v>0</v>
      </c>
      <c r="K657" s="9">
        <v>0</v>
      </c>
      <c r="L657" s="9">
        <v>0</v>
      </c>
      <c r="N657" s="8">
        <v>0</v>
      </c>
      <c r="O657" s="8">
        <v>0</v>
      </c>
      <c r="P657" s="8">
        <v>0</v>
      </c>
      <c r="Q657" s="8">
        <v>0</v>
      </c>
      <c r="R657" s="8">
        <v>0</v>
      </c>
      <c r="T657" s="12">
        <v>0</v>
      </c>
    </row>
    <row r="658" spans="1:20">
      <c r="A658" s="4" t="s">
        <v>480</v>
      </c>
      <c r="B658" s="9">
        <v>10335.61643835616</v>
      </c>
      <c r="C658" s="9">
        <v>0</v>
      </c>
      <c r="D658" s="9">
        <v>0</v>
      </c>
      <c r="E658" s="9">
        <v>0</v>
      </c>
      <c r="F658" s="9">
        <v>0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  <c r="N658" s="8">
        <v>0</v>
      </c>
      <c r="O658" s="8">
        <v>0</v>
      </c>
      <c r="P658" s="8">
        <v>0</v>
      </c>
      <c r="Q658" s="8">
        <v>0</v>
      </c>
      <c r="R658" s="8">
        <v>0</v>
      </c>
      <c r="T658" s="12">
        <v>0</v>
      </c>
    </row>
    <row r="659" spans="1:20">
      <c r="A659" s="4" t="s">
        <v>482</v>
      </c>
      <c r="B659" s="9">
        <v>0</v>
      </c>
      <c r="C659" s="9">
        <v>10852.56539726029</v>
      </c>
      <c r="D659" s="9">
        <v>31029.74008666081</v>
      </c>
      <c r="E659" s="9">
        <v>50806.62793769923</v>
      </c>
      <c r="F659" s="9">
        <v>70013.74011913914</v>
      </c>
      <c r="H659" s="9">
        <v>0</v>
      </c>
      <c r="I659" s="9">
        <v>0</v>
      </c>
      <c r="J659" s="9">
        <v>0</v>
      </c>
      <c r="K659" s="9">
        <v>0</v>
      </c>
      <c r="L659" s="9">
        <v>0</v>
      </c>
      <c r="N659" s="8">
        <v>0</v>
      </c>
      <c r="O659" s="8">
        <v>0</v>
      </c>
      <c r="P659" s="8">
        <v>0</v>
      </c>
      <c r="Q659" s="8">
        <v>0</v>
      </c>
      <c r="R659" s="8">
        <v>0</v>
      </c>
      <c r="T659" s="12">
        <v>0</v>
      </c>
    </row>
    <row r="660" spans="1:20">
      <c r="A660" s="4" t="s">
        <v>464</v>
      </c>
      <c r="B660" s="9">
        <v>0</v>
      </c>
      <c r="C660" s="9">
        <v>1</v>
      </c>
      <c r="D660" s="9">
        <v>1</v>
      </c>
      <c r="E660" s="9">
        <v>1</v>
      </c>
      <c r="F660" s="9">
        <v>1</v>
      </c>
      <c r="H660" s="9">
        <v>0</v>
      </c>
      <c r="I660" s="9">
        <v>0</v>
      </c>
      <c r="J660" s="9">
        <v>0</v>
      </c>
      <c r="K660" s="9">
        <v>0</v>
      </c>
      <c r="L660" s="9">
        <v>0</v>
      </c>
      <c r="N660" s="8">
        <v>0</v>
      </c>
      <c r="O660" s="8">
        <v>0</v>
      </c>
      <c r="P660" s="8">
        <v>0</v>
      </c>
      <c r="Q660" s="8">
        <v>0</v>
      </c>
      <c r="R660" s="8">
        <v>0</v>
      </c>
      <c r="T660" s="12">
        <v>0</v>
      </c>
    </row>
    <row r="661" spans="1:20">
      <c r="A661" s="4" t="s">
        <v>454</v>
      </c>
      <c r="B661" s="9">
        <v>0</v>
      </c>
      <c r="C661" s="9">
        <v>2520.862053893879</v>
      </c>
      <c r="D661" s="9">
        <v>0</v>
      </c>
      <c r="E661" s="9">
        <v>0</v>
      </c>
      <c r="F661" s="9">
        <v>0</v>
      </c>
      <c r="H661" s="9">
        <v>0</v>
      </c>
      <c r="I661" s="9">
        <v>0</v>
      </c>
      <c r="J661" s="9">
        <v>0</v>
      </c>
      <c r="K661" s="9">
        <v>0</v>
      </c>
      <c r="L661" s="9">
        <v>0</v>
      </c>
      <c r="N661" s="8">
        <v>0</v>
      </c>
      <c r="O661" s="8">
        <v>0</v>
      </c>
      <c r="P661" s="8">
        <v>0</v>
      </c>
      <c r="Q661" s="8">
        <v>0</v>
      </c>
      <c r="R661" s="8">
        <v>0</v>
      </c>
      <c r="T661" s="12">
        <v>0</v>
      </c>
    </row>
    <row r="662" spans="1:20">
      <c r="A662" s="4" t="s">
        <v>458</v>
      </c>
      <c r="B662" s="9">
        <v>0</v>
      </c>
      <c r="C662" s="9">
        <v>50.41724107787758</v>
      </c>
      <c r="D662" s="9">
        <v>0</v>
      </c>
      <c r="E662" s="9">
        <v>0</v>
      </c>
      <c r="F662" s="9">
        <v>0</v>
      </c>
      <c r="H662" s="9">
        <v>0</v>
      </c>
      <c r="I662" s="9">
        <v>0</v>
      </c>
      <c r="J662" s="9">
        <v>0</v>
      </c>
      <c r="K662" s="9">
        <v>0</v>
      </c>
      <c r="L662" s="9">
        <v>0</v>
      </c>
      <c r="N662" s="8">
        <v>0</v>
      </c>
      <c r="O662" s="8">
        <v>0</v>
      </c>
      <c r="P662" s="8">
        <v>0</v>
      </c>
      <c r="Q662" s="8">
        <v>0</v>
      </c>
      <c r="R662" s="8">
        <v>0</v>
      </c>
      <c r="T662" s="12">
        <v>0</v>
      </c>
    </row>
    <row r="663" spans="1:20">
      <c r="A663" s="4" t="s">
        <v>456</v>
      </c>
      <c r="B663" s="9">
        <v>0</v>
      </c>
      <c r="C663" s="9">
        <v>2779.336533345943</v>
      </c>
      <c r="D663" s="9">
        <v>20997.02988847723</v>
      </c>
      <c r="E663" s="9">
        <v>41464.10678928043</v>
      </c>
      <c r="F663" s="9">
        <v>61488.25080494047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N663" s="8">
        <v>0</v>
      </c>
      <c r="O663" s="8">
        <v>0</v>
      </c>
      <c r="P663" s="8">
        <v>0</v>
      </c>
      <c r="Q663" s="8">
        <v>0</v>
      </c>
      <c r="R663" s="8">
        <v>0</v>
      </c>
      <c r="T663" s="12">
        <v>0</v>
      </c>
    </row>
    <row r="664" spans="1:20">
      <c r="A664" s="4" t="s">
        <v>460</v>
      </c>
      <c r="B664" s="9">
        <v>0</v>
      </c>
      <c r="C664" s="9">
        <v>222.3469226676754</v>
      </c>
      <c r="D664" s="9">
        <v>1679.762391078179</v>
      </c>
      <c r="E664" s="9">
        <v>3317.128543142434</v>
      </c>
      <c r="F664" s="9">
        <v>4919.060064395238</v>
      </c>
      <c r="H664" s="9">
        <v>0</v>
      </c>
      <c r="I664" s="9">
        <v>0</v>
      </c>
      <c r="J664" s="9">
        <v>0</v>
      </c>
      <c r="K664" s="9">
        <v>0</v>
      </c>
      <c r="L664" s="9">
        <v>0</v>
      </c>
      <c r="N664" s="8">
        <v>0</v>
      </c>
      <c r="O664" s="8">
        <v>0</v>
      </c>
      <c r="P664" s="8">
        <v>0</v>
      </c>
      <c r="Q664" s="8">
        <v>0</v>
      </c>
      <c r="R664" s="8">
        <v>0</v>
      </c>
      <c r="T664" s="12">
        <v>0</v>
      </c>
    </row>
    <row r="665" spans="1:20">
      <c r="A665" s="4" t="s">
        <v>462</v>
      </c>
      <c r="B665" s="9">
        <v>0</v>
      </c>
      <c r="C665" s="9">
        <v>-171.9296815897979</v>
      </c>
      <c r="D665" s="9">
        <v>-1679.762391078179</v>
      </c>
      <c r="E665" s="9">
        <v>-3317.128543142434</v>
      </c>
      <c r="F665" s="9">
        <v>-4919.060064395238</v>
      </c>
      <c r="H665" s="9">
        <v>0</v>
      </c>
      <c r="I665" s="9">
        <v>0</v>
      </c>
      <c r="J665" s="9">
        <v>0</v>
      </c>
      <c r="K665" s="9">
        <v>0</v>
      </c>
      <c r="L665" s="9">
        <v>0</v>
      </c>
      <c r="N665" s="8">
        <v>0</v>
      </c>
      <c r="O665" s="8">
        <v>0</v>
      </c>
      <c r="P665" s="8">
        <v>0</v>
      </c>
      <c r="Q665" s="8">
        <v>0</v>
      </c>
      <c r="R665" s="8">
        <v>0</v>
      </c>
      <c r="T665" s="12">
        <v>0</v>
      </c>
    </row>
    <row r="666" spans="1:20">
      <c r="A666" s="4" t="s">
        <v>388</v>
      </c>
      <c r="B666" s="9">
        <v>0</v>
      </c>
      <c r="C666" s="9">
        <v>-111.7542930333686</v>
      </c>
      <c r="D666" s="9">
        <v>-1091.845554200816</v>
      </c>
      <c r="E666" s="9">
        <v>-2156.133553042583</v>
      </c>
      <c r="F666" s="9">
        <v>-3197.389041856904</v>
      </c>
      <c r="H666" s="9">
        <v>0</v>
      </c>
      <c r="I666" s="9">
        <v>0</v>
      </c>
      <c r="J666" s="9">
        <v>0</v>
      </c>
      <c r="K666" s="9">
        <v>0</v>
      </c>
      <c r="L666" s="9">
        <v>0</v>
      </c>
      <c r="N666" s="8">
        <v>0</v>
      </c>
      <c r="O666" s="8">
        <v>0</v>
      </c>
      <c r="P666" s="8">
        <v>0</v>
      </c>
      <c r="Q666" s="8">
        <v>0</v>
      </c>
      <c r="R666" s="8">
        <v>0</v>
      </c>
      <c r="T666" s="12">
        <v>0</v>
      </c>
    </row>
    <row r="667" spans="1:20">
      <c r="A667" s="4" t="s">
        <v>392</v>
      </c>
      <c r="B667" s="9">
        <v>0</v>
      </c>
      <c r="C667" s="9">
        <v>-20059.66215604708</v>
      </c>
      <c r="D667" s="9">
        <v>-19667.44885467755</v>
      </c>
      <c r="E667" s="9">
        <v>-19051.60755429663</v>
      </c>
      <c r="F667" s="9">
        <v>-18098.73823359926</v>
      </c>
      <c r="H667" s="9">
        <v>0</v>
      </c>
      <c r="I667" s="9">
        <v>0</v>
      </c>
      <c r="J667" s="9">
        <v>0</v>
      </c>
      <c r="K667" s="9">
        <v>0</v>
      </c>
      <c r="L667" s="9">
        <v>0</v>
      </c>
      <c r="N667" s="8">
        <v>0</v>
      </c>
      <c r="O667" s="8">
        <v>0</v>
      </c>
      <c r="P667" s="8">
        <v>0</v>
      </c>
      <c r="Q667" s="8">
        <v>0</v>
      </c>
      <c r="R667" s="8">
        <v>0</v>
      </c>
      <c r="T667" s="12">
        <v>0</v>
      </c>
    </row>
    <row r="668" spans="1:20">
      <c r="A668" s="4" t="s">
        <v>444</v>
      </c>
      <c r="B668" s="9">
        <v>10335.61643835616</v>
      </c>
      <c r="C668" s="9">
        <v>-10964.31969029366</v>
      </c>
      <c r="D668" s="9">
        <v>-32121.58564086162</v>
      </c>
      <c r="E668" s="9">
        <v>-52962.76149074181</v>
      </c>
      <c r="F668" s="9">
        <v>-73211.12916099605</v>
      </c>
      <c r="H668" s="9">
        <v>0</v>
      </c>
      <c r="I668" s="9">
        <v>0</v>
      </c>
      <c r="J668" s="9">
        <v>0</v>
      </c>
      <c r="K668" s="9">
        <v>0</v>
      </c>
      <c r="L668" s="9">
        <v>0</v>
      </c>
      <c r="N668" s="8">
        <v>0</v>
      </c>
      <c r="O668" s="8">
        <v>0</v>
      </c>
      <c r="P668" s="8">
        <v>0</v>
      </c>
      <c r="Q668" s="8">
        <v>0</v>
      </c>
      <c r="R668" s="8">
        <v>0</v>
      </c>
      <c r="T668" s="12">
        <v>0</v>
      </c>
    </row>
    <row r="669" spans="1:20">
      <c r="A669" s="4" t="s">
        <v>247</v>
      </c>
      <c r="B669" s="9">
        <v>10335.61643835616</v>
      </c>
      <c r="C669" s="9">
        <v>0</v>
      </c>
      <c r="D669" s="9">
        <v>0</v>
      </c>
      <c r="E669" s="9">
        <v>0</v>
      </c>
      <c r="F669" s="9">
        <v>0</v>
      </c>
      <c r="H669" s="9">
        <v>0</v>
      </c>
      <c r="I669" s="9">
        <v>0</v>
      </c>
      <c r="J669" s="9">
        <v>0</v>
      </c>
      <c r="K669" s="9">
        <v>0</v>
      </c>
      <c r="L669" s="9">
        <v>0</v>
      </c>
      <c r="N669" s="8">
        <v>0</v>
      </c>
      <c r="O669" s="8">
        <v>0</v>
      </c>
      <c r="P669" s="8">
        <v>0</v>
      </c>
      <c r="Q669" s="8">
        <v>0</v>
      </c>
      <c r="R669" s="8">
        <v>0</v>
      </c>
      <c r="T669" s="12">
        <v>0</v>
      </c>
    </row>
    <row r="670" spans="1:20">
      <c r="A670" s="4" t="s">
        <v>253</v>
      </c>
      <c r="B670" s="9">
        <v>0</v>
      </c>
      <c r="C670" s="9">
        <v>10964.31969029366</v>
      </c>
      <c r="D670" s="9">
        <v>32121.58564086162</v>
      </c>
      <c r="E670" s="9">
        <v>52962.76149074181</v>
      </c>
      <c r="F670" s="9">
        <v>73211.12916099605</v>
      </c>
      <c r="H670" s="9">
        <v>0</v>
      </c>
      <c r="I670" s="9">
        <v>0</v>
      </c>
      <c r="J670" s="9">
        <v>0</v>
      </c>
      <c r="K670" s="9">
        <v>0</v>
      </c>
      <c r="L670" s="9">
        <v>0</v>
      </c>
      <c r="N670" s="8">
        <v>0</v>
      </c>
      <c r="O670" s="8">
        <v>0</v>
      </c>
      <c r="P670" s="8">
        <v>0</v>
      </c>
      <c r="Q670" s="8">
        <v>0</v>
      </c>
      <c r="R670" s="8">
        <v>0</v>
      </c>
      <c r="T670" s="12">
        <v>0</v>
      </c>
    </row>
    <row r="671" spans="1:20">
      <c r="A671" s="4" t="s">
        <v>466</v>
      </c>
      <c r="B671" s="9">
        <f>NA()</f>
        <v>0</v>
      </c>
      <c r="C671" s="9">
        <v>2478.309863013702</v>
      </c>
      <c r="D671" s="9">
        <v>3035.998520876714</v>
      </c>
      <c r="E671" s="9">
        <v>3637.988236903458</v>
      </c>
      <c r="F671" s="9">
        <v>4359.623785604277</v>
      </c>
      <c r="H671" s="9">
        <v>0</v>
      </c>
      <c r="I671" s="9">
        <v>0</v>
      </c>
      <c r="J671" s="9">
        <v>0</v>
      </c>
      <c r="K671" s="9">
        <v>0</v>
      </c>
      <c r="L671" s="9">
        <v>0</v>
      </c>
      <c r="N671" s="8">
        <v>0</v>
      </c>
      <c r="O671" s="8">
        <v>0</v>
      </c>
      <c r="P671" s="8">
        <v>0</v>
      </c>
      <c r="Q671" s="8">
        <v>0</v>
      </c>
      <c r="R671" s="8">
        <v>0</v>
      </c>
      <c r="T671" s="12">
        <v>0</v>
      </c>
    </row>
    <row r="672" spans="1:20">
      <c r="A672" s="4" t="s">
        <v>468</v>
      </c>
      <c r="B672" s="9">
        <v>0</v>
      </c>
      <c r="C672" s="9">
        <v>0</v>
      </c>
      <c r="D672" s="9">
        <v>0</v>
      </c>
      <c r="E672" s="9">
        <v>0</v>
      </c>
      <c r="F672" s="9">
        <v>0</v>
      </c>
      <c r="H672" s="9">
        <v>0</v>
      </c>
      <c r="I672" s="9">
        <v>0</v>
      </c>
      <c r="J672" s="9">
        <v>0</v>
      </c>
      <c r="K672" s="9">
        <v>0</v>
      </c>
      <c r="L672" s="9">
        <v>0</v>
      </c>
      <c r="N672" s="8">
        <v>0</v>
      </c>
      <c r="O672" s="8">
        <v>0</v>
      </c>
      <c r="P672" s="8">
        <v>0</v>
      </c>
      <c r="Q672" s="8">
        <v>0</v>
      </c>
      <c r="R672" s="8">
        <v>0</v>
      </c>
      <c r="T672" s="12">
        <v>0</v>
      </c>
    </row>
    <row r="673" spans="1:20">
      <c r="A673" s="4" t="s">
        <v>470</v>
      </c>
      <c r="B673" s="9">
        <v>0</v>
      </c>
      <c r="C673" s="9">
        <v>0</v>
      </c>
      <c r="D673" s="9">
        <v>0</v>
      </c>
      <c r="E673" s="9">
        <v>0</v>
      </c>
      <c r="F673" s="9">
        <v>0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  <c r="N673" s="8">
        <v>0</v>
      </c>
      <c r="O673" s="8">
        <v>0</v>
      </c>
      <c r="P673" s="8">
        <v>0</v>
      </c>
      <c r="Q673" s="8">
        <v>0</v>
      </c>
      <c r="R673" s="8">
        <v>0</v>
      </c>
      <c r="T673" s="12">
        <v>0</v>
      </c>
    </row>
    <row r="674" spans="1:20">
      <c r="A674" s="4" t="s">
        <v>472</v>
      </c>
      <c r="B674" s="9">
        <v>0</v>
      </c>
      <c r="C674" s="9">
        <v>-20059.66215604708</v>
      </c>
      <c r="D674" s="9">
        <v>-19667.44885467755</v>
      </c>
      <c r="E674" s="9">
        <v>-19051.60755429663</v>
      </c>
      <c r="F674" s="9">
        <v>-18098.73823359926</v>
      </c>
      <c r="H674" s="9">
        <v>0</v>
      </c>
      <c r="I674" s="9">
        <v>0</v>
      </c>
      <c r="J674" s="9">
        <v>0</v>
      </c>
      <c r="K674" s="9">
        <v>0</v>
      </c>
      <c r="L674" s="9">
        <v>0</v>
      </c>
      <c r="N674" s="8">
        <v>0</v>
      </c>
      <c r="O674" s="8">
        <v>0</v>
      </c>
      <c r="P674" s="8">
        <v>0</v>
      </c>
      <c r="Q674" s="8">
        <v>0</v>
      </c>
      <c r="R674" s="8">
        <v>0</v>
      </c>
      <c r="T674" s="12">
        <v>0</v>
      </c>
    </row>
    <row r="675" spans="1:20">
      <c r="A675" s="4" t="s">
        <v>484</v>
      </c>
      <c r="B675" s="9">
        <v>0</v>
      </c>
      <c r="C675" s="9">
        <v>0.2702733766529519</v>
      </c>
      <c r="D675" s="9">
        <v>0</v>
      </c>
      <c r="E675" s="9">
        <v>0</v>
      </c>
      <c r="F675" s="9">
        <v>0</v>
      </c>
      <c r="H675" s="9">
        <v>0</v>
      </c>
      <c r="I675" s="9">
        <v>0</v>
      </c>
      <c r="J675" s="9">
        <v>0</v>
      </c>
      <c r="K675" s="9">
        <v>0</v>
      </c>
      <c r="L675" s="9">
        <v>0</v>
      </c>
      <c r="N675" s="8">
        <v>0</v>
      </c>
      <c r="O675" s="8">
        <v>0</v>
      </c>
      <c r="P675" s="8">
        <v>0</v>
      </c>
      <c r="Q675" s="8">
        <v>0</v>
      </c>
      <c r="R675" s="8">
        <v>0</v>
      </c>
      <c r="T675" s="12">
        <v>0</v>
      </c>
    </row>
    <row r="676" spans="1:20">
      <c r="A676" s="4" t="s">
        <v>486</v>
      </c>
      <c r="B676" s="9">
        <v>0</v>
      </c>
      <c r="C676" s="9">
        <v>2.442072417241434</v>
      </c>
      <c r="D676" s="9">
        <v>31.71822454754874</v>
      </c>
      <c r="E676" s="9">
        <v>90.96752645266679</v>
      </c>
      <c r="F676" s="9">
        <v>181.1753564976534</v>
      </c>
      <c r="H676" s="9">
        <v>0</v>
      </c>
      <c r="I676" s="9">
        <v>0</v>
      </c>
      <c r="J676" s="9">
        <v>0</v>
      </c>
      <c r="K676" s="9">
        <v>0</v>
      </c>
      <c r="L676" s="9">
        <v>0</v>
      </c>
      <c r="N676" s="8">
        <v>0</v>
      </c>
      <c r="O676" s="8">
        <v>0</v>
      </c>
      <c r="P676" s="8">
        <v>0</v>
      </c>
      <c r="Q676" s="8">
        <v>0</v>
      </c>
      <c r="R676" s="8">
        <v>0</v>
      </c>
      <c r="T676" s="12">
        <v>0</v>
      </c>
    </row>
    <row r="677" spans="1:20">
      <c r="A677" s="4" t="s">
        <v>448</v>
      </c>
      <c r="B677" s="9">
        <v>0</v>
      </c>
      <c r="C677" s="9">
        <v>0</v>
      </c>
      <c r="D677" s="9">
        <v>0</v>
      </c>
      <c r="E677" s="9">
        <v>0</v>
      </c>
      <c r="F677" s="9">
        <v>0</v>
      </c>
      <c r="H677" s="9">
        <v>0</v>
      </c>
      <c r="I677" s="9">
        <v>0</v>
      </c>
      <c r="J677" s="9">
        <v>0</v>
      </c>
      <c r="K677" s="9">
        <v>0</v>
      </c>
      <c r="L677" s="9">
        <v>0</v>
      </c>
      <c r="N677" s="8">
        <v>0</v>
      </c>
      <c r="O677" s="8">
        <v>0</v>
      </c>
      <c r="P677" s="8">
        <v>0</v>
      </c>
      <c r="Q677" s="8">
        <v>0</v>
      </c>
      <c r="R677" s="8">
        <v>0</v>
      </c>
      <c r="T677" s="12">
        <v>0</v>
      </c>
    </row>
    <row r="678" spans="1:20">
      <c r="A678" s="4" t="s">
        <v>450</v>
      </c>
      <c r="B678" s="9">
        <v>0</v>
      </c>
      <c r="C678" s="9">
        <v>0</v>
      </c>
      <c r="D678" s="9">
        <v>0</v>
      </c>
      <c r="E678" s="9">
        <v>0</v>
      </c>
      <c r="F678" s="9">
        <v>0</v>
      </c>
      <c r="H678" s="9">
        <v>0</v>
      </c>
      <c r="I678" s="9">
        <v>0</v>
      </c>
      <c r="J678" s="9">
        <v>0</v>
      </c>
      <c r="K678" s="9">
        <v>0</v>
      </c>
      <c r="L678" s="9">
        <v>0</v>
      </c>
      <c r="N678" s="8">
        <v>0</v>
      </c>
      <c r="O678" s="8">
        <v>0</v>
      </c>
      <c r="P678" s="8">
        <v>0</v>
      </c>
      <c r="Q678" s="8">
        <v>0</v>
      </c>
      <c r="R678" s="8">
        <v>0</v>
      </c>
      <c r="T678" s="12">
        <v>0</v>
      </c>
    </row>
    <row r="679" spans="1:20">
      <c r="A679" s="4" t="s">
        <v>452</v>
      </c>
      <c r="B679" s="9">
        <v>0</v>
      </c>
      <c r="C679" s="9">
        <v>0</v>
      </c>
      <c r="D679" s="9">
        <v>0</v>
      </c>
      <c r="E679" s="9">
        <v>0</v>
      </c>
      <c r="F679" s="9">
        <v>0</v>
      </c>
      <c r="H679" s="9">
        <v>0</v>
      </c>
      <c r="I679" s="9">
        <v>0</v>
      </c>
      <c r="J679" s="9">
        <v>0</v>
      </c>
      <c r="K679" s="9">
        <v>0</v>
      </c>
      <c r="L679" s="9">
        <v>0</v>
      </c>
      <c r="N679" s="8">
        <v>0</v>
      </c>
      <c r="O679" s="8">
        <v>0</v>
      </c>
      <c r="P679" s="8">
        <v>0</v>
      </c>
      <c r="Q679" s="8">
        <v>0</v>
      </c>
      <c r="R679" s="8">
        <v>0</v>
      </c>
      <c r="T679" s="12">
        <v>0</v>
      </c>
    </row>
    <row r="682" spans="1:20">
      <c r="A682" s="3" t="s">
        <v>683</v>
      </c>
      <c r="B682" s="4" t="s">
        <v>619</v>
      </c>
      <c r="C682" s="8">
        <f>FN.MAXDEV(Unbalance_deleverage, Unbalance_deleverageExp)</f>
        <v>0</v>
      </c>
      <c r="D682" s="12">
        <f>IF(FN.MAXDEV(Unbalance_deleverage, Unbalance_deleverageExp) &lt;= Tol, "PASS", "FAIL")</f>
        <v/>
      </c>
    </row>
    <row r="683" spans="1:20">
      <c r="A683" s="3" t="s">
        <v>5</v>
      </c>
      <c r="B683" s="3" t="s">
        <v>620</v>
      </c>
      <c r="C683" s="3" t="s">
        <v>623</v>
      </c>
      <c r="D683" s="3" t="s">
        <v>626</v>
      </c>
      <c r="E683" s="3" t="s">
        <v>629</v>
      </c>
      <c r="F683" s="3" t="s">
        <v>632</v>
      </c>
      <c r="H683" s="3" t="s">
        <v>621</v>
      </c>
      <c r="I683" s="3" t="s">
        <v>624</v>
      </c>
      <c r="J683" s="3" t="s">
        <v>627</v>
      </c>
      <c r="K683" s="3" t="s">
        <v>630</v>
      </c>
      <c r="L683" s="3" t="s">
        <v>633</v>
      </c>
      <c r="N683" s="3" t="s">
        <v>622</v>
      </c>
      <c r="O683" s="3" t="s">
        <v>625</v>
      </c>
      <c r="P683" s="3" t="s">
        <v>628</v>
      </c>
      <c r="Q683" s="3" t="s">
        <v>631</v>
      </c>
      <c r="R683" s="3" t="s">
        <v>634</v>
      </c>
      <c r="T683" s="3" t="s">
        <v>635</v>
      </c>
    </row>
    <row r="684" spans="1:20">
      <c r="A684" s="4" t="s">
        <v>264</v>
      </c>
      <c r="B684" s="9">
        <v>0</v>
      </c>
      <c r="C684" s="9">
        <v>0</v>
      </c>
      <c r="D684" s="9">
        <v>0</v>
      </c>
      <c r="E684" s="9">
        <v>0</v>
      </c>
      <c r="F684" s="9">
        <v>-2.91038304567337E-11</v>
      </c>
      <c r="H684" s="9" cm="1">
        <f t="array" ref="H684:L684">Unbalance_deleverage</f>
        <v>0</v>
      </c>
      <c r="I684" s="9">
        <v>0</v>
      </c>
      <c r="J684" s="9">
        <v>0</v>
      </c>
      <c r="K684" s="9">
        <v>0</v>
      </c>
      <c r="L684" s="9">
        <v>0</v>
      </c>
      <c r="N684" s="8" cm="1">
        <f t="array" ref="N684:R684">FN.DEV(Unbalance_deleverage, Unbalance_deleverageExp)</f>
        <v>0</v>
      </c>
      <c r="O684" s="8">
        <v>0</v>
      </c>
      <c r="P684" s="8">
        <v>0</v>
      </c>
      <c r="Q684" s="8">
        <v>0</v>
      </c>
      <c r="R684" s="8">
        <v>0</v>
      </c>
      <c r="T684" s="12" cm="1">
        <f t="array" ref="T684">_xlfn.BYROW(FN.DEV(Unbalance_deleverage, Unbalance_deleverageExp), _xlfn.LAMBDA(_xlpm.dev_row, IF(MAX(_xlpm.dev_row) &lt;= Tol, "PASS", "FAIL")))</f>
        <v>0</v>
      </c>
    </row>
    <row r="687" spans="1:20">
      <c r="A687" s="3" t="s">
        <v>684</v>
      </c>
      <c r="B687" s="4" t="s">
        <v>619</v>
      </c>
      <c r="C687" s="8">
        <f>FN.MAXDEV(ParityA_deleverage, ParityA_deleverageExp)</f>
        <v>0</v>
      </c>
      <c r="D687" s="12">
        <f>IF(FN.MAXDEV(ParityA_deleverage, ParityA_deleverageExp) &lt;= Tol, "PASS", "FAIL")</f>
        <v/>
      </c>
    </row>
    <row r="688" spans="1:20">
      <c r="A688" s="3" t="s">
        <v>5</v>
      </c>
      <c r="B688" s="3" t="s">
        <v>620</v>
      </c>
      <c r="C688" s="3" t="s">
        <v>623</v>
      </c>
      <c r="D688" s="3" t="s">
        <v>626</v>
      </c>
      <c r="E688" s="3" t="s">
        <v>629</v>
      </c>
      <c r="F688" s="3" t="s">
        <v>632</v>
      </c>
      <c r="H688" s="3" t="s">
        <v>621</v>
      </c>
      <c r="I688" s="3" t="s">
        <v>624</v>
      </c>
      <c r="J688" s="3" t="s">
        <v>627</v>
      </c>
      <c r="K688" s="3" t="s">
        <v>630</v>
      </c>
      <c r="L688" s="3" t="s">
        <v>633</v>
      </c>
      <c r="N688" s="3" t="s">
        <v>622</v>
      </c>
      <c r="O688" s="3" t="s">
        <v>625</v>
      </c>
      <c r="P688" s="3" t="s">
        <v>628</v>
      </c>
      <c r="Q688" s="3" t="s">
        <v>631</v>
      </c>
      <c r="R688" s="3" t="s">
        <v>634</v>
      </c>
      <c r="T688" s="3" t="s">
        <v>635</v>
      </c>
    </row>
    <row r="689" spans="1:20">
      <c r="A689" s="4" t="s">
        <v>470</v>
      </c>
      <c r="B689" s="9">
        <v>0</v>
      </c>
      <c r="C689" s="9">
        <v>-3.637978807091713E-12</v>
      </c>
      <c r="D689" s="9">
        <v>0</v>
      </c>
      <c r="E689" s="9">
        <v>7.275957614183426E-12</v>
      </c>
      <c r="F689" s="9">
        <v>3.637978807091713E-12</v>
      </c>
      <c r="H689" s="9" cm="1">
        <f t="array" ref="H689:L689">ParityA_deleverage</f>
        <v>0</v>
      </c>
      <c r="I689" s="9">
        <v>0</v>
      </c>
      <c r="J689" s="9">
        <v>0</v>
      </c>
      <c r="K689" s="9">
        <v>0</v>
      </c>
      <c r="L689" s="9">
        <v>0</v>
      </c>
      <c r="N689" s="8" cm="1">
        <f t="array" ref="N689:R689">FN.DEV(ParityA_deleverage, ParityA_deleverageExp)</f>
        <v>0</v>
      </c>
      <c r="O689" s="8">
        <v>0</v>
      </c>
      <c r="P689" s="8">
        <v>0</v>
      </c>
      <c r="Q689" s="8">
        <v>0</v>
      </c>
      <c r="R689" s="8">
        <v>0</v>
      </c>
      <c r="T689" s="12" cm="1">
        <f t="array" ref="T689">_xlfn.BYROW(FN.DEV(ParityA_deleverage, ParityA_deleverageExp), _xlfn.LAMBDA(_xlpm.dev_row, IF(MAX(_xlpm.dev_row) &lt;= Tol, "PASS", "FAIL")))</f>
        <v>0</v>
      </c>
    </row>
    <row r="692" spans="1:20">
      <c r="A692" s="3" t="s">
        <v>685</v>
      </c>
      <c r="B692" s="4" t="s">
        <v>619</v>
      </c>
      <c r="C692" s="8">
        <f>FN.MAXDEV(ParityB_deleverage, ParityB_deleverageExp)</f>
        <v>0</v>
      </c>
      <c r="D692" s="12">
        <f>IF(FN.MAXDEV(ParityB_deleverage, ParityB_deleverageExp) &lt;= Tol, "PASS", "FAIL")</f>
        <v/>
      </c>
    </row>
    <row r="693" spans="1:20">
      <c r="A693" s="3" t="s">
        <v>5</v>
      </c>
      <c r="B693" s="3" t="s">
        <v>620</v>
      </c>
      <c r="C693" s="3" t="s">
        <v>623</v>
      </c>
      <c r="D693" s="3" t="s">
        <v>626</v>
      </c>
      <c r="E693" s="3" t="s">
        <v>629</v>
      </c>
      <c r="F693" s="3" t="s">
        <v>632</v>
      </c>
      <c r="H693" s="3" t="s">
        <v>621</v>
      </c>
      <c r="I693" s="3" t="s">
        <v>624</v>
      </c>
      <c r="J693" s="3" t="s">
        <v>627</v>
      </c>
      <c r="K693" s="3" t="s">
        <v>630</v>
      </c>
      <c r="L693" s="3" t="s">
        <v>633</v>
      </c>
      <c r="N693" s="3" t="s">
        <v>622</v>
      </c>
      <c r="O693" s="3" t="s">
        <v>625</v>
      </c>
      <c r="P693" s="3" t="s">
        <v>628</v>
      </c>
      <c r="Q693" s="3" t="s">
        <v>631</v>
      </c>
      <c r="R693" s="3" t="s">
        <v>634</v>
      </c>
      <c r="T693" s="3" t="s">
        <v>635</v>
      </c>
    </row>
    <row r="694" spans="1:20">
      <c r="A694" s="4" t="s">
        <v>474</v>
      </c>
      <c r="B694" s="9">
        <v>0</v>
      </c>
      <c r="C694" s="9">
        <v>0</v>
      </c>
      <c r="D694" s="9">
        <v>0</v>
      </c>
      <c r="E694" s="9">
        <v>0</v>
      </c>
      <c r="F694" s="9">
        <v>3.637978807091713E-12</v>
      </c>
      <c r="H694" s="9" cm="1">
        <f t="array" ref="H694:L694">ParityB_deleverage</f>
        <v>0</v>
      </c>
      <c r="I694" s="9">
        <v>0</v>
      </c>
      <c r="J694" s="9">
        <v>0</v>
      </c>
      <c r="K694" s="9">
        <v>0</v>
      </c>
      <c r="L694" s="9">
        <v>0</v>
      </c>
      <c r="N694" s="8" cm="1">
        <f t="array" ref="N694:R694">FN.DEV(ParityB_deleverage, ParityB_deleverageExp)</f>
        <v>0</v>
      </c>
      <c r="O694" s="8">
        <v>0</v>
      </c>
      <c r="P694" s="8">
        <v>0</v>
      </c>
      <c r="Q694" s="8">
        <v>0</v>
      </c>
      <c r="R694" s="8">
        <v>0</v>
      </c>
      <c r="T694" s="12" cm="1">
        <f t="array" ref="T694">_xlfn.BYROW(FN.DEV(ParityB_deleverage, ParityB_deleverageExp), _xlfn.LAMBDA(_xlpm.dev_row, IF(MAX(_xlpm.dev_row) &lt;= Tol, "PASS", "FAIL")))</f>
        <v>0</v>
      </c>
    </row>
    <row r="697" spans="1:20">
      <c r="A697" s="3" t="s">
        <v>686</v>
      </c>
      <c r="B697" s="4" t="s">
        <v>619</v>
      </c>
      <c r="C697" s="8">
        <f>FN.MAXDEV(SCFParityB_deleverage, SCFParityB_deleverageExp)</f>
        <v>0</v>
      </c>
      <c r="D697" s="12">
        <f>IF(FN.MAXDEV(SCFParityB_deleverage, SCFParityB_deleverageExp) &lt;= Tol, "PASS", "FAIL")</f>
        <v/>
      </c>
    </row>
    <row r="698" spans="1:20">
      <c r="A698" s="3" t="s">
        <v>5</v>
      </c>
      <c r="B698" s="3" t="s">
        <v>620</v>
      </c>
      <c r="C698" s="3" t="s">
        <v>623</v>
      </c>
      <c r="D698" s="3" t="s">
        <v>626</v>
      </c>
      <c r="E698" s="3" t="s">
        <v>629</v>
      </c>
      <c r="F698" s="3" t="s">
        <v>632</v>
      </c>
      <c r="H698" s="3" t="s">
        <v>621</v>
      </c>
      <c r="I698" s="3" t="s">
        <v>624</v>
      </c>
      <c r="J698" s="3" t="s">
        <v>627</v>
      </c>
      <c r="K698" s="3" t="s">
        <v>630</v>
      </c>
      <c r="L698" s="3" t="s">
        <v>633</v>
      </c>
      <c r="N698" s="3" t="s">
        <v>622</v>
      </c>
      <c r="O698" s="3" t="s">
        <v>625</v>
      </c>
      <c r="P698" s="3" t="s">
        <v>628</v>
      </c>
      <c r="Q698" s="3" t="s">
        <v>631</v>
      </c>
      <c r="R698" s="3" t="s">
        <v>634</v>
      </c>
      <c r="T698" s="3" t="s">
        <v>635</v>
      </c>
    </row>
    <row r="699" spans="1:20">
      <c r="A699" s="4" t="s">
        <v>474</v>
      </c>
      <c r="B699" s="9">
        <v>0</v>
      </c>
      <c r="C699" s="9">
        <v>0</v>
      </c>
      <c r="D699" s="9">
        <v>0</v>
      </c>
      <c r="E699" s="9">
        <v>-3.637978807091713E-12</v>
      </c>
      <c r="F699" s="9">
        <v>3.637978807091713E-12</v>
      </c>
      <c r="H699" s="9" cm="1">
        <f t="array" ref="H699:L699">SCFParityB_deleverage</f>
        <v>0</v>
      </c>
      <c r="I699" s="9">
        <v>0</v>
      </c>
      <c r="J699" s="9">
        <v>0</v>
      </c>
      <c r="K699" s="9">
        <v>0</v>
      </c>
      <c r="L699" s="9">
        <v>0</v>
      </c>
      <c r="N699" s="8" cm="1">
        <f t="array" ref="N699:R699">FN.DEV(SCFParityB_deleverage, SCFParityB_deleverageExp)</f>
        <v>0</v>
      </c>
      <c r="O699" s="8">
        <v>0</v>
      </c>
      <c r="P699" s="8">
        <v>0</v>
      </c>
      <c r="Q699" s="8">
        <v>0</v>
      </c>
      <c r="R699" s="8">
        <v>0</v>
      </c>
      <c r="T699" s="12" cm="1">
        <f t="array" ref="T699">_xlfn.BYROW(FN.DEV(SCFParityB_deleverage, SCFParityB_deleverageExp), _xlfn.LAMBDA(_xlpm.dev_row, IF(MAX(_xlpm.dev_row) &lt;= Tol, "PASS", "FAIL")))</f>
        <v>0</v>
      </c>
    </row>
    <row r="702" spans="1:20">
      <c r="A702" s="3" t="s">
        <v>689</v>
      </c>
    </row>
    <row r="703" spans="1:20">
      <c r="A703" s="4" t="s">
        <v>690</v>
      </c>
      <c r="B703" s="8" cm="1">
        <f t="array" ref="B703:F703">FN.DEV(_xlfn.HSTACK(1, 1, _xlfn.DROP(_xlfn.EXPAND(0, 1, 2), 0, 1), 0, _xlfn.DROP(_xlfn.EXPAND(0, 1, 2), 0, 1)), _xlfn.HSTACK(1, 1.5, _xlfn.DROP(_xlfn.EXPAND(0, 1, 2), 0, 1), _xlfn.DROP(_xlfn.EXPAND(0, 1, 2), 0, 1), 0))</f>
        <v>0</v>
      </c>
      <c r="C703" s="8">
        <v>0</v>
      </c>
      <c r="D703" s="8">
        <v>0</v>
      </c>
      <c r="E703" s="8">
        <v>0</v>
      </c>
      <c r="F703" s="8">
        <v>0</v>
      </c>
    </row>
    <row r="704" spans="1:20">
      <c r="A704" s="4" t="s">
        <v>691</v>
      </c>
      <c r="B704" s="8" cm="1">
        <f t="array" ref="B704:F704">_xlfn.HSTACK(0, 0.5, 0, 1E+99, 1E+99)</f>
        <v>0</v>
      </c>
      <c r="C704" s="8">
        <v>0</v>
      </c>
      <c r="D704" s="8">
        <v>0</v>
      </c>
      <c r="E704" s="8">
        <v>0</v>
      </c>
      <c r="F704" s="8">
        <v>0</v>
      </c>
    </row>
    <row r="705" spans="1:6">
      <c r="A705" s="4" t="s">
        <v>635</v>
      </c>
      <c r="B705" s="12" cm="1" t="str">
        <f t="array" ref="B705">IF(SUM(ABS(FN.DEV(_xlfn.HSTACK(1, 1, _xlfn.DROP(_xlfn.EXPAND(0, 1, 2), 0, 1), 0, _xlfn.DROP(_xlfn.EXPAND(0, 1, 2), 0, 1)), _xlfn.HSTACK(1, 1.5, _xlfn.DROP(_xlfn.EXPAND(0, 1, 2), 0, 1), _xlfn.DROP(_xlfn.EXPAND(0, 1, 2), 0, 1), 0)) - _xlfn.HSTACK(0, 0.5, 0, 1E+99, 1E+99))) = 0, "PASS", "FAIL")</f>
        <v/>
      </c>
    </row>
    <row r="706" spans="1:6">
      <c r="A706" s="2" t="s">
        <v>692</v>
      </c>
    </row>
    <row r="708" spans="1:6">
      <c r="A708" s="3" t="s">
        <v>693</v>
      </c>
      <c r="B708" s="4" t="s">
        <v>694</v>
      </c>
      <c r="C708" s="8" cm="1">
        <f t="array" ref="C708">MAX(ABS(FN.AVGPOS(_xlfn.HSTACK(100, 100, -50, 0, -30), _xlfn.HSTACK(100, -50, -80, 60, 0)) - _xlfn.HSTACK(100, 100/3, 0, 30, 0)))</f>
        <v>0</v>
      </c>
      <c r="D708" s="12" cm="1" t="str">
        <f t="array" ref="D708">IF(MAX(ABS(FN.AVGPOS(_xlfn.HSTACK(100, 100, -50, 0, -30), _xlfn.HSTACK(100, -50, -80, 60, 0)) - _xlfn.HSTACK(100, 100/3, 0, 30, 0))) &lt;= Tol, "PASS", "FAIL")</f>
        <v/>
      </c>
    </row>
    <row r="709" spans="1:6">
      <c r="A709" s="4" t="s">
        <v>690</v>
      </c>
      <c r="B709" s="9" cm="1">
        <f t="array" ref="B709:F709">FN.AVGPOS(_xlfn.HSTACK(100, 100, -50, 0, -30), _xlfn.HSTACK(100, -50, -80, 60, 0))</f>
        <v>0</v>
      </c>
      <c r="C709" s="9">
        <v>0</v>
      </c>
      <c r="D709" s="9">
        <v>0</v>
      </c>
      <c r="E709" s="9">
        <v>0</v>
      </c>
      <c r="F709" s="9">
        <v>0</v>
      </c>
    </row>
    <row r="710" spans="1:6">
      <c r="A710" s="4" t="s">
        <v>691</v>
      </c>
      <c r="B710" s="9" cm="1">
        <f t="array" ref="B710:F710">_xlfn.HSTACK(100, 100/3, 0, 30, 0)</f>
        <v>0</v>
      </c>
      <c r="C710" s="9">
        <v>0</v>
      </c>
      <c r="D710" s="9">
        <v>0</v>
      </c>
      <c r="E710" s="9">
        <v>0</v>
      </c>
      <c r="F710" s="9">
        <v>0</v>
      </c>
    </row>
    <row r="711" spans="1:6">
      <c r="A711" s="2" t="s">
        <v>695</v>
      </c>
    </row>
    <row r="714" spans="1:6">
      <c r="A714" s="3" t="s">
        <v>696</v>
      </c>
      <c r="B714" s="4" t="s">
        <v>694</v>
      </c>
      <c r="C714" s="8" cm="1">
        <f t="array" ref="C714">MAX(ABS(FN.AVGNEG(_xlfn.HSTACK(100, 100, -50, 0, -30), _xlfn.HSTACK(100, -50, -80, 60, 0)) - _xlfn.HSTACK(0, 25/3, 65, 0, 15)))</f>
        <v>0</v>
      </c>
      <c r="D714" s="12" cm="1" t="str">
        <f t="array" ref="D714">IF(MAX(ABS(FN.AVGNEG(_xlfn.HSTACK(100, 100, -50, 0, -30), _xlfn.HSTACK(100, -50, -80, 60, 0)) - _xlfn.HSTACK(0, 25/3, 65, 0, 15))) &lt;= Tol, "PASS", "FAIL")</f>
        <v/>
      </c>
    </row>
    <row r="715" spans="1:6">
      <c r="A715" s="4" t="s">
        <v>690</v>
      </c>
      <c r="B715" s="9" cm="1">
        <f t="array" ref="B715:F715">FN.AVGNEG(_xlfn.HSTACK(100, 100, -50, 0, -30), _xlfn.HSTACK(100, -50, -80, 60, 0))</f>
        <v>0</v>
      </c>
      <c r="C715" s="9">
        <v>0</v>
      </c>
      <c r="D715" s="9">
        <v>0</v>
      </c>
      <c r="E715" s="9">
        <v>0</v>
      </c>
      <c r="F715" s="9">
        <v>0</v>
      </c>
    </row>
    <row r="716" spans="1:6">
      <c r="A716" s="4" t="s">
        <v>691</v>
      </c>
      <c r="B716" s="9" cm="1">
        <f t="array" ref="B716:F716">_xlfn.HSTACK(0, 25/3, 65, 0, 15)</f>
        <v>0</v>
      </c>
      <c r="C716" s="9">
        <v>0</v>
      </c>
      <c r="D716" s="9">
        <v>0</v>
      </c>
      <c r="E716" s="9">
        <v>0</v>
      </c>
      <c r="F716" s="9">
        <v>0</v>
      </c>
    </row>
    <row r="717" spans="1:6">
      <c r="A717" s="2" t="s">
        <v>697</v>
      </c>
    </row>
    <row r="720" spans="1:6">
      <c r="A720" s="3" t="s">
        <v>698</v>
      </c>
      <c r="B720" s="4" t="s">
        <v>694</v>
      </c>
      <c r="C720" s="8" cm="1">
        <f t="array" ref="C720">MAX(ABS(_xlfn.LET(_xlpm.a, _xlfn.HSTACK(100, 100, -50, 0, -30), _xlpm.b, _xlfn.HSTACK(100, -50, -80, 60, 0), _xlpm.ap, IF(_xlpm.a &gt; 0, _xlpm.a, 0), _xlpm.bp, IF(_xlpm.b &gt; 0, _xlpm.b, 0), _xlpm.an, IF(_xlpm.a &lt; 0, -_xlpm.a, 0), _xlpm.bn, IF(_xlpm.b &lt; 0, -_xlpm.b, 0), _xlpm.sw, _xlpm.ap + _xlpm.bp + _xlpm.an + _xlpm.bn, _xlfn.HSTACK(FN.AVGPART(_xlpm.ap, _xlpm.bp, _xlpm.sw) - FN.AVGPOS(_xlpm.a, _xlpm.b), FN.AVGPART(_xlpm.an, _xlpm.bn, _xlpm.sw) - FN.AVGNEG(_xlpm.a, _xlpm.b))) - _xlfn.SEQUENCE(1, 10, 0, 0)))</f>
        <v>0</v>
      </c>
      <c r="D720" s="12" cm="1" t="str">
        <f t="array" ref="D720">IF(MAX(ABS(_xlfn.LET(_xlpm.a, _xlfn.HSTACK(100, 100, -50, 0, -30), _xlpm.b, _xlfn.HSTACK(100, -50, -80, 60, 0), _xlpm.ap, IF(_xlpm.a &gt; 0, _xlpm.a, 0), _xlpm.bp, IF(_xlpm.b &gt; 0, _xlpm.b, 0), _xlpm.an, IF(_xlpm.a &lt; 0, -_xlpm.a, 0), _xlpm.bn, IF(_xlpm.b &lt; 0, -_xlpm.b, 0), _xlpm.sw, _xlpm.ap + _xlpm.bp + _xlpm.an + _xlpm.bn, _xlfn.HSTACK(FN.AVGPART(_xlpm.ap, _xlpm.bp, _xlpm.sw) - FN.AVGPOS(_xlpm.a, _xlpm.b), FN.AVGPART(_xlpm.an, _xlpm.bn, _xlpm.sw) - FN.AVGNEG(_xlpm.a, _xlpm.b))) - _xlfn.SEQUENCE(1, 10, 0, 0))) &lt;= Tol, "PASS", "FAIL")</f>
        <v/>
      </c>
    </row>
    <row r="721" spans="1:6">
      <c r="A721" s="4" t="s">
        <v>690</v>
      </c>
      <c r="B721" s="9" cm="1">
        <f t="array" ref="B721:F721">_xlfn.LET(_xlpm.a, _xlfn.HSTACK(100, 100, -50, 0, -30), _xlpm.b, _xlfn.HSTACK(100, -50, -80, 60, 0), _xlpm.ap, IF(_xlpm.a &gt; 0, _xlpm.a, 0), _xlpm.bp, IF(_xlpm.b &gt; 0, _xlpm.b, 0), _xlpm.an, IF(_xlpm.a &lt; 0, -_xlpm.a, 0), _xlpm.bn, IF(_xlpm.b &lt; 0, -_xlpm.b, 0), _xlpm.sw, _xlpm.ap + _xlpm.bp + _xlpm.an + _xlpm.bn, _xlfn.HSTACK(FN.AVGPART(_xlpm.ap, _xlpm.bp, _xlpm.sw) - FN.AVGPOS(_xlpm.a, _xlpm.b), FN.AVGPART(_xlpm.an, _xlpm.bn, _xlpm.sw) - FN.AVGNEG(_xlpm.a, _xlpm.b)))</f>
        <v>0</v>
      </c>
      <c r="C721" s="9">
        <v>0</v>
      </c>
      <c r="D721" s="9">
        <v>0</v>
      </c>
      <c r="E721" s="9">
        <v>0</v>
      </c>
      <c r="F721" s="9">
        <v>0</v>
      </c>
    </row>
    <row r="722" spans="1:6">
      <c r="A722" s="4" t="s">
        <v>691</v>
      </c>
      <c r="B722" s="9" cm="1">
        <f t="array" ref="B722:F722">_xlfn.SEQUENCE(1, 10, 0, 0)</f>
        <v>0</v>
      </c>
      <c r="C722" s="9">
        <v>0</v>
      </c>
      <c r="D722" s="9">
        <v>0</v>
      </c>
      <c r="E722" s="9">
        <v>0</v>
      </c>
      <c r="F722" s="9">
        <v>0</v>
      </c>
    </row>
    <row r="723" spans="1:6">
      <c r="A723" s="2" t="s">
        <v>699</v>
      </c>
    </row>
    <row r="726" spans="1:6">
      <c r="A726" s="3" t="s">
        <v>700</v>
      </c>
      <c r="B726" s="4" t="s">
        <v>701</v>
      </c>
      <c r="C726" s="8" cm="1">
        <f t="array" ref="C726">MAX(ABS(BS!Unbalance_base))</f>
        <v>0</v>
      </c>
      <c r="D726" s="12" cm="1" t="str">
        <f t="array" ref="D726">IF(MAX(ABS(BS!Unbalance_base)) &lt;= Tol, "PASS", "FAIL")</f>
        <v/>
      </c>
    </row>
    <row r="727" spans="1:6">
      <c r="A727" s="2" t="s">
        <v>702</v>
      </c>
    </row>
    <row r="729" spans="1:6">
      <c r="A729" s="3" t="s">
        <v>703</v>
      </c>
      <c r="B729" s="4" t="s">
        <v>701</v>
      </c>
      <c r="C729" s="8" cm="1">
        <f t="array" ref="C729">MAX(ABS('SCF recursive'!ParityResidualA_base))</f>
        <v>0</v>
      </c>
      <c r="D729" s="12" cm="1" t="str">
        <f t="array" ref="D729">IF(MAX(ABS('SCF recursive'!ParityResidualA_base)) &lt;= Tol, "PASS", "FAIL")</f>
        <v/>
      </c>
    </row>
    <row r="730" spans="1:6">
      <c r="A730" s="2" t="s">
        <v>704</v>
      </c>
    </row>
    <row r="732" spans="1:6">
      <c r="A732" s="3" t="s">
        <v>705</v>
      </c>
      <c r="B732" s="4" t="s">
        <v>701</v>
      </c>
      <c r="C732" s="8" cm="1">
        <f t="array" ref="C732">MAX(ABS('SCF recursive'!ParityResidualB_base))</f>
        <v>0</v>
      </c>
      <c r="D732" s="12" cm="1" t="str">
        <f t="array" ref="D732">IF(MAX(ABS('SCF recursive'!ParityResidualB_base)) &lt;= Tol, "PASS", "FAIL")</f>
        <v/>
      </c>
    </row>
    <row r="733" spans="1:6">
      <c r="A733" s="2" t="s">
        <v>706</v>
      </c>
    </row>
    <row r="735" spans="1:6">
      <c r="A735" s="3" t="s">
        <v>707</v>
      </c>
      <c r="B735" s="4" t="s">
        <v>701</v>
      </c>
      <c r="C735" s="8" cm="1">
        <f t="array" ref="C735">MAX(ABS(SCF!ParityResidualB_base))</f>
        <v>0</v>
      </c>
      <c r="D735" s="12" cm="1" t="str">
        <f t="array" ref="D735">IF(MAX(ABS(SCF!ParityResidualB_base)) &lt;= Tol, "PASS", "FAIL")</f>
        <v/>
      </c>
    </row>
    <row r="736" spans="1:6">
      <c r="A736" s="2" t="s">
        <v>708</v>
      </c>
    </row>
    <row r="738" spans="1:4">
      <c r="A738" s="3" t="s">
        <v>709</v>
      </c>
      <c r="B738" s="4" t="s">
        <v>701</v>
      </c>
      <c r="C738" s="8" cm="1">
        <f t="array" ref="C738">MAX(ABS(SCF!NetCashPosition_base - FN.SEEDREC(IN.ASMPT_base("initial total cash"), SCF!NCF_base, _xlfn.LAMBDA(_xlpm.prev, _xlpm.d, _xlpm.prev + _xlpm.d))))</f>
        <v>0</v>
      </c>
      <c r="D738" s="12" cm="1" t="str">
        <f t="array" ref="D738">IF(MAX(ABS(SCF!NetCashPosition_base - FN.SEEDREC(IN.ASMPT_base("initial total cash"), SCF!NCF_base, _xlfn.LAMBDA(_xlpm.prev, _xlpm.d, _xlpm.prev + _xlpm.d)))) &lt;= Tol, "PASS", "FAIL")</f>
        <v/>
      </c>
    </row>
    <row r="739" spans="1:4">
      <c r="A739" s="2" t="s">
        <v>710</v>
      </c>
    </row>
    <row r="741" spans="1:4">
      <c r="A741" s="3" t="s">
        <v>711</v>
      </c>
      <c r="B741" s="4" t="s">
        <v>701</v>
      </c>
      <c r="C741" s="8" cm="1">
        <f t="array" ref="C741">MAX(ABS(BS!Unbalance_payout))</f>
        <v>0</v>
      </c>
      <c r="D741" s="12" cm="1" t="str">
        <f t="array" ref="D741">IF(MAX(ABS(BS!Unbalance_payout)) &lt;= Tol, "PASS", "FAIL")</f>
        <v/>
      </c>
    </row>
    <row r="742" spans="1:4">
      <c r="A742" s="2" t="s">
        <v>702</v>
      </c>
    </row>
    <row r="744" spans="1:4">
      <c r="A744" s="3" t="s">
        <v>712</v>
      </c>
      <c r="B744" s="4" t="s">
        <v>701</v>
      </c>
      <c r="C744" s="8" cm="1">
        <f t="array" ref="C744">MAX(ABS('SCF recursive'!ParityResidualA_payout))</f>
        <v>0</v>
      </c>
      <c r="D744" s="12" cm="1" t="str">
        <f t="array" ref="D744">IF(MAX(ABS('SCF recursive'!ParityResidualA_payout)) &lt;= Tol, "PASS", "FAIL")</f>
        <v/>
      </c>
    </row>
    <row r="745" spans="1:4">
      <c r="A745" s="2" t="s">
        <v>704</v>
      </c>
    </row>
    <row r="747" spans="1:4">
      <c r="A747" s="3" t="s">
        <v>713</v>
      </c>
      <c r="B747" s="4" t="s">
        <v>701</v>
      </c>
      <c r="C747" s="8" cm="1">
        <f t="array" ref="C747">MAX(ABS('SCF recursive'!ParityResidualB_payout))</f>
        <v>0</v>
      </c>
      <c r="D747" s="12" cm="1" t="str">
        <f t="array" ref="D747">IF(MAX(ABS('SCF recursive'!ParityResidualB_payout)) &lt;= Tol, "PASS", "FAIL")</f>
        <v/>
      </c>
    </row>
    <row r="748" spans="1:4">
      <c r="A748" s="2" t="s">
        <v>706</v>
      </c>
    </row>
    <row r="750" spans="1:4">
      <c r="A750" s="3" t="s">
        <v>714</v>
      </c>
      <c r="B750" s="4" t="s">
        <v>701</v>
      </c>
      <c r="C750" s="8" cm="1">
        <f t="array" ref="C750">MAX(ABS(SCF!ParityResidualB_payout))</f>
        <v>0</v>
      </c>
      <c r="D750" s="12" cm="1" t="str">
        <f t="array" ref="D750">IF(MAX(ABS(SCF!ParityResidualB_payout)) &lt;= Tol, "PASS", "FAIL")</f>
        <v/>
      </c>
    </row>
    <row r="751" spans="1:4">
      <c r="A751" s="2" t="s">
        <v>708</v>
      </c>
    </row>
    <row r="753" spans="1:4">
      <c r="A753" s="3" t="s">
        <v>715</v>
      </c>
      <c r="B753" s="4" t="s">
        <v>701</v>
      </c>
      <c r="C753" s="8" cm="1">
        <f t="array" ref="C753">MAX(ABS(SCF!NetCashPosition_payout - FN.SEEDREC(IN.ASMPT_payout("initial total cash"), SCF!NCF_payout, _xlfn.LAMBDA(_xlpm.prev, _xlpm.d, _xlpm.prev + _xlpm.d))))</f>
        <v>0</v>
      </c>
      <c r="D753" s="12" cm="1" t="str">
        <f t="array" ref="D753">IF(MAX(ABS(SCF!NetCashPosition_payout - FN.SEEDREC(IN.ASMPT_payout("initial total cash"), SCF!NCF_payout, _xlfn.LAMBDA(_xlpm.prev, _xlpm.d, _xlpm.prev + _xlpm.d)))) &lt;= Tol, "PASS", "FAIL")</f>
        <v/>
      </c>
    </row>
    <row r="754" spans="1:4">
      <c r="A754" s="2" t="s">
        <v>710</v>
      </c>
    </row>
    <row r="756" spans="1:4">
      <c r="A756" s="3" t="s">
        <v>716</v>
      </c>
      <c r="B756" s="4" t="s">
        <v>701</v>
      </c>
      <c r="C756" s="8" cm="1">
        <f t="array" ref="C756">MAX(ABS(BS!Unbalance_deleverage))</f>
        <v>0</v>
      </c>
      <c r="D756" s="12" cm="1" t="str">
        <f t="array" ref="D756">IF(MAX(ABS(BS!Unbalance_deleverage)) &lt;= Tol, "PASS", "FAIL")</f>
        <v/>
      </c>
    </row>
    <row r="757" spans="1:4">
      <c r="A757" s="2" t="s">
        <v>702</v>
      </c>
    </row>
    <row r="759" spans="1:4">
      <c r="A759" s="3" t="s">
        <v>717</v>
      </c>
      <c r="B759" s="4" t="s">
        <v>701</v>
      </c>
      <c r="C759" s="8" cm="1">
        <f t="array" ref="C759">MAX(ABS('SCF recursive'!ParityResidualA_deleverage))</f>
        <v>0</v>
      </c>
      <c r="D759" s="12" cm="1" t="str">
        <f t="array" ref="D759">IF(MAX(ABS('SCF recursive'!ParityResidualA_deleverage)) &lt;= Tol, "PASS", "FAIL")</f>
        <v/>
      </c>
    </row>
    <row r="760" spans="1:4">
      <c r="A760" s="2" t="s">
        <v>704</v>
      </c>
    </row>
    <row r="762" spans="1:4">
      <c r="A762" s="3" t="s">
        <v>718</v>
      </c>
      <c r="B762" s="4" t="s">
        <v>701</v>
      </c>
      <c r="C762" s="8" cm="1">
        <f t="array" ref="C762">MAX(ABS('SCF recursive'!ParityResidualB_deleverage))</f>
        <v>0</v>
      </c>
      <c r="D762" s="12" cm="1" t="str">
        <f t="array" ref="D762">IF(MAX(ABS('SCF recursive'!ParityResidualB_deleverage)) &lt;= Tol, "PASS", "FAIL")</f>
        <v/>
      </c>
    </row>
    <row r="763" spans="1:4">
      <c r="A763" s="2" t="s">
        <v>706</v>
      </c>
    </row>
    <row r="765" spans="1:4">
      <c r="A765" s="3" t="s">
        <v>719</v>
      </c>
      <c r="B765" s="4" t="s">
        <v>701</v>
      </c>
      <c r="C765" s="8" cm="1">
        <f t="array" ref="C765">MAX(ABS(SCF!ParityResidualB_deleverage))</f>
        <v>0</v>
      </c>
      <c r="D765" s="12" cm="1" t="str">
        <f t="array" ref="D765">IF(MAX(ABS(SCF!ParityResidualB_deleverage)) &lt;= Tol, "PASS", "FAIL")</f>
        <v/>
      </c>
    </row>
    <row r="766" spans="1:4">
      <c r="A766" s="2" t="s">
        <v>708</v>
      </c>
    </row>
    <row r="768" spans="1:4">
      <c r="A768" s="3" t="s">
        <v>720</v>
      </c>
      <c r="B768" s="4" t="s">
        <v>701</v>
      </c>
      <c r="C768" s="8" cm="1">
        <f t="array" ref="C768">MAX(ABS(SCF!NetCashPosition_deleverage - FN.SEEDREC(IN.ASMPT_deleverage("initial total cash"), SCF!NCF_deleverage, _xlfn.LAMBDA(_xlpm.prev, _xlpm.d, _xlpm.prev + _xlpm.d))))</f>
        <v>0</v>
      </c>
      <c r="D768" s="12" cm="1" t="str">
        <f t="array" ref="D768">IF(MAX(ABS(SCF!NetCashPosition_deleverage - FN.SEEDREC(IN.ASMPT_deleverage("initial total cash"), SCF!NCF_deleverage, _xlfn.LAMBDA(_xlpm.prev, _xlpm.d, _xlpm.prev + _xlpm.d)))) &lt;= Tol, "PASS", "FAIL")</f>
        <v/>
      </c>
    </row>
    <row r="769" spans="1:4">
      <c r="A769" s="2" t="s">
        <v>710</v>
      </c>
    </row>
    <row r="771" spans="1:4">
      <c r="A771" s="3" t="s">
        <v>721</v>
      </c>
      <c r="B771" s="4" t="s">
        <v>722</v>
      </c>
      <c r="C771" s="9" cm="1">
        <f t="array" ref="C771">SUMPRODUCT('SCF recursive'!OverdraftWarning_deleverage)</f>
        <v>0</v>
      </c>
      <c r="D771" s="12" cm="1" t="str">
        <f t="array" ref="D771">IF(SUMPRODUCT('SCF recursive'!OverdraftWarning_deleverage) &gt; 0, "PASS", "FAIL")</f>
        <v/>
      </c>
    </row>
    <row r="772" spans="1:4">
      <c r="A772" s="2" t="s">
        <v>723</v>
      </c>
    </row>
    <row r="774" spans="1:4">
      <c r="A774" s="3" t="s">
        <v>724</v>
      </c>
      <c r="B774" s="4" t="s">
        <v>722</v>
      </c>
      <c r="C774" s="9" cm="1">
        <f t="array" ref="C774">SUMPRODUCT(('SCF recursive'!DiscretionaryPrev_deleverage &gt; 0) * ('SCF recursive'!DiscretionaryCash_deleverage &lt;= 0))</f>
        <v>0</v>
      </c>
      <c r="D774" s="12" cm="1" t="str">
        <f t="array" ref="D774">IF(SUMPRODUCT(('SCF recursive'!DiscretionaryPrev_deleverage &gt; 0) * ('SCF recursive'!DiscretionaryCash_deleverage &lt;= 0)) &gt; 0, "PASS", "FAIL")</f>
        <v/>
      </c>
    </row>
    <row r="775" spans="1:4">
      <c r="A775" s="2" t="s">
        <v>725</v>
      </c>
    </row>
    <row r="777" spans="1:4">
      <c r="A777" s="3" t="s">
        <v>726</v>
      </c>
      <c r="B777" s="4" t="s">
        <v>722</v>
      </c>
      <c r="C777" s="9" cm="1">
        <f t="array" ref="C777">SUMPRODUCT((SCF!DiscretionaryPrev_deleverage &gt; 0) * (SCF!DiscretionaryBCI_deleverage &lt;= 0))</f>
        <v>0</v>
      </c>
      <c r="D777" s="12" cm="1" t="str">
        <f t="array" ref="D777">IF(SUMPRODUCT((SCF!DiscretionaryPrev_deleverage &gt; 0) * (SCF!DiscretionaryBCI_deleverage &lt;= 0)) &gt; 0, "PASS", "FAIL")</f>
        <v/>
      </c>
    </row>
    <row r="778" spans="1:4">
      <c r="A778" s="2" t="s">
        <v>727</v>
      </c>
    </row>
    <row r="780" spans="1:4">
      <c r="A780" s="3" t="s">
        <v>728</v>
      </c>
      <c r="B780" s="4" t="s">
        <v>722</v>
      </c>
      <c r="C780" s="9" cm="1">
        <f t="array" ref="C780">SUM('SCF recursive'!OverdraftInterestExpense_deleverage)</f>
        <v>0</v>
      </c>
      <c r="D780" s="12" cm="1" t="str">
        <f t="array" ref="D780">IF(SUM('SCF recursive'!OverdraftInterestExpense_deleverage) &gt; 0, "PASS", "FAIL")</f>
        <v/>
      </c>
    </row>
    <row r="781" spans="1:4">
      <c r="A781" s="2" t="s">
        <v>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509</vt:i4>
      </vt:variant>
    </vt:vector>
  </HeadingPairs>
  <TitlesOfParts>
    <vt:vector size="521" baseType="lpstr">
      <vt:lpstr>Model</vt:lpstr>
      <vt:lpstr>Assumpt</vt:lpstr>
      <vt:lpstr>LastActuals</vt:lpstr>
      <vt:lpstr>Rates</vt:lpstr>
      <vt:lpstr>SalesCOGS</vt:lpstr>
      <vt:lpstr>FinDebt</vt:lpstr>
      <vt:lpstr>IS</vt:lpstr>
      <vt:lpstr>BS</vt:lpstr>
      <vt:lpstr>FCF</vt:lpstr>
      <vt:lpstr>SCF recursive</vt:lpstr>
      <vt:lpstr>SCF</vt:lpstr>
      <vt:lpstr>Check</vt:lpstr>
      <vt:lpstr>_xlfn.ANCHORARRAY('BS'!AccountsReceivable_base</vt:lpstr>
      <vt:lpstr>_xlfn.ANCHORARRAY('BS'!AccountsReceivable_deleverage</vt:lpstr>
      <vt:lpstr>_xlfn.ANCHORARRAY('BS'!AccountsReceivable_payout</vt:lpstr>
      <vt:lpstr>_xlfn.ANCHORARRAY('IS'!Administrative_base</vt:lpstr>
      <vt:lpstr>_xlfn.ANCHORARRAY('IS'!Administrative_deleverage</vt:lpstr>
      <vt:lpstr>_xlfn.ANCHORARRAY('IS'!Administrative_payout</vt:lpstr>
      <vt:lpstr>_xlfn.ANCHORARRAY('SCF recursive'!AfterTaxCashInterest_base</vt:lpstr>
      <vt:lpstr>_xlfn.ANCHORARRAY('SCF'!AfterTaxCashInterest_base</vt:lpstr>
      <vt:lpstr>_xlfn.ANCHORARRAY('SCF recursive'!AfterTaxCashInterest_deleverage</vt:lpstr>
      <vt:lpstr>_xlfn.ANCHORARRAY('SCF'!AfterTaxCashInterest_deleverage</vt:lpstr>
      <vt:lpstr>_xlfn.ANCHORARRAY('SCF recursive'!AfterTaxCashInterest_payout</vt:lpstr>
      <vt:lpstr>_xlfn.ANCHORARRAY('SCF'!AfterTaxCashInterest_payout</vt:lpstr>
      <vt:lpstr>_xlfn.VSTACK(tblAssumpt[base], Assumpt!Assumpt_base</vt:lpstr>
      <vt:lpstr>'Check'!Assumpt_baseExp</vt:lpstr>
      <vt:lpstr>_xlfn.VSTACK(tblAssumpt[deleverage], Assumpt!Assumpt_deleverage</vt:lpstr>
      <vt:lpstr>'Check'!Assumpt_deleverageExp</vt:lpstr>
      <vt:lpstr>_xlfn.VSTACK(tblAssumpt[payout], Assumpt!Assumpt_payout</vt:lpstr>
      <vt:lpstr>'Check'!Assumpt_payoutExp</vt:lpstr>
      <vt:lpstr>_xlfn.ANCHORARRAY('SCF recursive'!AvgExcessCash_base</vt:lpstr>
      <vt:lpstr>_xlfn.ANCHORARRAY('SCF'!AvgExcessCash_base</vt:lpstr>
      <vt:lpstr>_xlfn.ANCHORARRAY('SCF recursive'!AvgExcessCash_deleverage</vt:lpstr>
      <vt:lpstr>_xlfn.ANCHORARRAY('SCF'!AvgExcessCash_deleverage</vt:lpstr>
      <vt:lpstr>_xlfn.ANCHORARRAY('SCF recursive'!AvgExcessCash_payout</vt:lpstr>
      <vt:lpstr>_xlfn.ANCHORARRAY('SCF'!AvgExcessCash_payout</vt:lpstr>
      <vt:lpstr>_xlfn.ANCHORARRAY('SCF recursive'!AvgOverdraft_base</vt:lpstr>
      <vt:lpstr>_xlfn.ANCHORARRAY('SCF'!AvgOverdraft_base</vt:lpstr>
      <vt:lpstr>_xlfn.ANCHORARRAY('SCF recursive'!AvgOverdraft_deleverage</vt:lpstr>
      <vt:lpstr>_xlfn.ANCHORARRAY('SCF'!AvgOverdraft_deleverage</vt:lpstr>
      <vt:lpstr>_xlfn.ANCHORARRAY('SCF recursive'!AvgOverdraft_payout</vt:lpstr>
      <vt:lpstr>_xlfn.ANCHORARRAY('SCF'!AvgOverdraft_payout</vt:lpstr>
      <vt:lpstr>'LastActuals'!AvgSalesPrice</vt:lpstr>
      <vt:lpstr>_xlfn.ANCHORARRAY('SalesCOGS'!AvgSalesPrice_base</vt:lpstr>
      <vt:lpstr>'Assumpt'!AvgSalesPrice_base</vt:lpstr>
      <vt:lpstr>_xlfn.ANCHORARRAY('SalesCOGS'!AvgSalesPrice_deleverage</vt:lpstr>
      <vt:lpstr>'Assumpt'!AvgSalesPrice_deleverage</vt:lpstr>
      <vt:lpstr>_xlfn.ANCHORARRAY('SalesCOGS'!AvgSalesPrice_payout</vt:lpstr>
      <vt:lpstr>'Assumpt'!AvgSalesPrice_payout</vt:lpstr>
      <vt:lpstr>_xlfn.ANCHORARRAY('BS'!BankOverdraft_base</vt:lpstr>
      <vt:lpstr>_xlfn.ANCHORARRAY('SCF recursive'!BankOverdraft_base</vt:lpstr>
      <vt:lpstr>_xlfn.ANCHORARRAY('SCF'!BankOverdraft_base</vt:lpstr>
      <vt:lpstr>_xlfn.ANCHORARRAY('BS'!BankOverdraft_deleverage</vt:lpstr>
      <vt:lpstr>_xlfn.ANCHORARRAY('SCF recursive'!BankOverdraft_deleverage</vt:lpstr>
      <vt:lpstr>_xlfn.ANCHORARRAY('SCF'!BankOverdraft_deleverage</vt:lpstr>
      <vt:lpstr>_xlfn.ANCHORARRAY('BS'!BankOverdraft_payout</vt:lpstr>
      <vt:lpstr>_xlfn.ANCHORARRAY('SCF recursive'!BankOverdraft_payout</vt:lpstr>
      <vt:lpstr>_xlfn.ANCHORARRAY('SCF'!BankOverdraft_payout</vt:lpstr>
      <vt:lpstr>_xlfn.VSTACK(BS!BS_base</vt:lpstr>
      <vt:lpstr>'Check'!BS_baseExp</vt:lpstr>
      <vt:lpstr>_xlfn.VSTACK(BS!BS_deleverage</vt:lpstr>
      <vt:lpstr>'Check'!BS_deleverageExp</vt:lpstr>
      <vt:lpstr>_xlfn.VSTACK(BS!BS_payout</vt:lpstr>
      <vt:lpstr>'Check'!BS_payoutExp</vt:lpstr>
      <vt:lpstr>_xlfn.VSTACK(BS!BSdelta_base</vt:lpstr>
      <vt:lpstr>'Check'!BSdelta_baseExp</vt:lpstr>
      <vt:lpstr>_xlfn.VSTACK(BS!BSdelta_deleverage</vt:lpstr>
      <vt:lpstr>'Check'!BSdelta_deleverageExp</vt:lpstr>
      <vt:lpstr>_xlfn.VSTACK(BS!BSdelta_payout</vt:lpstr>
      <vt:lpstr>'Check'!BSdelta_payoutExp</vt:lpstr>
      <vt:lpstr>_xlfn.ANCHORARRAY('BS'!CapitalExpenditures_base</vt:lpstr>
      <vt:lpstr>_xlfn.ANCHORARRAY('BS'!CapitalExpenditures_deleverage</vt:lpstr>
      <vt:lpstr>_xlfn.ANCHORARRAY('BS'!CapitalExpenditures_payout</vt:lpstr>
      <vt:lpstr>_xlfn.ANCHORARRAY('SCF recursive'!CashInterestIncome_base</vt:lpstr>
      <vt:lpstr>_xlfn.ANCHORARRAY('SCF'!CashInterestIncome_base</vt:lpstr>
      <vt:lpstr>_xlfn.ANCHORARRAY('SCF recursive'!CashInterestIncome_deleverage</vt:lpstr>
      <vt:lpstr>_xlfn.ANCHORARRAY('SCF'!CashInterestIncome_deleverage</vt:lpstr>
      <vt:lpstr>_xlfn.ANCHORARRAY('SCF recursive'!CashInterestIncome_payout</vt:lpstr>
      <vt:lpstr>_xlfn.ANCHORARRAY('SCF'!CashInterestIncome_payout</vt:lpstr>
      <vt:lpstr>_xlfn.ANCHORARRAY('SCF'!CashInterestShortfall_base</vt:lpstr>
      <vt:lpstr>_xlfn.ANCHORARRAY('SCF'!CashInterestShortfall_deleverage</vt:lpstr>
      <vt:lpstr>_xlfn.ANCHORARRAY('SCF'!CashInterestShortfall_payout</vt:lpstr>
      <vt:lpstr>_xlfn.ANCHORARRAY('SalesCOGS'!CompanySales_base</vt:lpstr>
      <vt:lpstr>_xlfn.ANCHORARRAY('SalesCOGS'!CompanySales_deleverage</vt:lpstr>
      <vt:lpstr>_xlfn.ANCHORARRAY('SalesCOGS'!CompanySales_payout</vt:lpstr>
      <vt:lpstr>'FCF'!DeadAfterTaxCashInterest_base</vt:lpstr>
      <vt:lpstr>'FCF'!DeadAfterTaxCashInterest_deleverage</vt:lpstr>
      <vt:lpstr>'FCF'!DeadAfterTaxCashInterest_payout</vt:lpstr>
      <vt:lpstr>'SCF recursive'!DeadCashInterestShortfall_base</vt:lpstr>
      <vt:lpstr>'SCF recursive'!DeadCashInterestShortfall_deleverage</vt:lpstr>
      <vt:lpstr>'SCF recursive'!DeadCashInterestShortfall_payout</vt:lpstr>
      <vt:lpstr>'SCF recursive'!DeadDiscretionaryBCI_base</vt:lpstr>
      <vt:lpstr>'SCF recursive'!DeadDiscretionaryBCI_deleverage</vt:lpstr>
      <vt:lpstr>'SCF recursive'!DeadDiscretionaryBCI_payout</vt:lpstr>
      <vt:lpstr>'SCF recursive'!DeadDiscretionaryCashShortfall_base</vt:lpstr>
      <vt:lpstr>'SCF recursive'!DeadDiscretionaryCashShortfall_deleverage</vt:lpstr>
      <vt:lpstr>'SCF recursive'!DeadDiscretionaryCashShortfall_payout</vt:lpstr>
      <vt:lpstr>'SCF recursive'!DeadExcessBCI_base</vt:lpstr>
      <vt:lpstr>'SCF recursive'!DeadExcessBCI_deleverage</vt:lpstr>
      <vt:lpstr>'SCF recursive'!DeadExcessBCI_payout</vt:lpstr>
      <vt:lpstr>'SCF'!DeadExcessPrev_base</vt:lpstr>
      <vt:lpstr>'SCF'!DeadExcessPrev_deleverage</vt:lpstr>
      <vt:lpstr>'SCF'!DeadExcessPrev_payout</vt:lpstr>
      <vt:lpstr>'SCF'!DeadNCFViaIncomeAndBSDelta_base</vt:lpstr>
      <vt:lpstr>'SCF'!DeadNCFViaIncomeAndBSDelta_deleverage</vt:lpstr>
      <vt:lpstr>'SCF'!DeadNCFViaIncomeAndBSDelta_payout</vt:lpstr>
      <vt:lpstr>'SCF recursive'!DeadNetCashPositionBCI_base</vt:lpstr>
      <vt:lpstr>'SCF recursive'!DeadNetCashPositionBCI_deleverage</vt:lpstr>
      <vt:lpstr>'SCF recursive'!DeadNetCashPositionBCI_payout</vt:lpstr>
      <vt:lpstr>'SCF recursive'!DeadOverdraftBCI_base</vt:lpstr>
      <vt:lpstr>'SCF recursive'!DeadOverdraftBCI_deleverage</vt:lpstr>
      <vt:lpstr>'SCF recursive'!DeadOverdraftBCI_payout</vt:lpstr>
      <vt:lpstr>'SCF'!DeadOverdraftPrev_base</vt:lpstr>
      <vt:lpstr>'SCF'!DeadOverdraftPrev_deleverage</vt:lpstr>
      <vt:lpstr>'SCF'!DeadOverdraftPrev_payout</vt:lpstr>
      <vt:lpstr>'SCF'!DeadParityResidualA_base</vt:lpstr>
      <vt:lpstr>'SCF'!DeadParityResidualA_deleverage</vt:lpstr>
      <vt:lpstr>'SCF'!DeadParityResidualA_payout</vt:lpstr>
      <vt:lpstr>'FCF'!DeadReAddChangeInOperatingCash_base</vt:lpstr>
      <vt:lpstr>'FCF'!DeadReAddChangeInOperatingCash_deleverage</vt:lpstr>
      <vt:lpstr>'FCF'!DeadReAddChangeInOperatingCash_payout</vt:lpstr>
      <vt:lpstr>'SCF'!DeadSwing_base</vt:lpstr>
      <vt:lpstr>'SCF'!DeadSwing_deleverage</vt:lpstr>
      <vt:lpstr>'SCF'!DeadSwing_payout</vt:lpstr>
      <vt:lpstr>_xlfn.ANCHORARRAY('BS'!DeltaAccountsReceivable_base</vt:lpstr>
      <vt:lpstr>_xlfn.ANCHORARRAY('BS'!DeltaAccountsReceivable_deleverage</vt:lpstr>
      <vt:lpstr>_xlfn.ANCHORARRAY('BS'!DeltaAccountsReceivable_payout</vt:lpstr>
      <vt:lpstr>_xlfn.ANCHORARRAY('BS'!DeltaFinancialDebt_base</vt:lpstr>
      <vt:lpstr>_xlfn.ANCHORARRAY('BS'!DeltaFinancialDebt_deleverage</vt:lpstr>
      <vt:lpstr>_xlfn.ANCHORARRAY('BS'!DeltaFinancialDebt_payout</vt:lpstr>
      <vt:lpstr>_xlfn.ANCHORARRAY('BS'!DeltaFinishedGoods_base</vt:lpstr>
      <vt:lpstr>_xlfn.ANCHORARRAY('BS'!DeltaFinishedGoods_deleverage</vt:lpstr>
      <vt:lpstr>_xlfn.ANCHORARRAY('BS'!DeltaFinishedGoods_payout</vt:lpstr>
      <vt:lpstr>_xlfn.ANCHORARRAY('BS'!DeltaMinimumOperatingCash_base</vt:lpstr>
      <vt:lpstr>_xlfn.ANCHORARRAY('BS'!DeltaMinimumOperatingCash_deleverage</vt:lpstr>
      <vt:lpstr>_xlfn.ANCHORARRAY('BS'!DeltaMinimumOperatingCash_payout</vt:lpstr>
      <vt:lpstr>_xlfn.ANCHORARRAY('BS'!DeltaNetFixedAssets_base</vt:lpstr>
      <vt:lpstr>_xlfn.ANCHORARRAY('BS'!DeltaNetFixedAssets_deleverage</vt:lpstr>
      <vt:lpstr>_xlfn.ANCHORARRAY('BS'!DeltaNetFixedAssets_payout</vt:lpstr>
      <vt:lpstr>_xlfn.ANCHORARRAY('BS'!DeltaNetWorkingCapital_base</vt:lpstr>
      <vt:lpstr>_xlfn.ANCHORARRAY('BS'!DeltaNetWorkingCapital_deleverage</vt:lpstr>
      <vt:lpstr>_xlfn.ANCHORARRAY('BS'!DeltaNetWorkingCapital_payout</vt:lpstr>
      <vt:lpstr>_xlfn.ANCHORARRAY('BS'!DeltaOtherAccountsPayable_base</vt:lpstr>
      <vt:lpstr>_xlfn.ANCHORARRAY('BS'!DeltaOtherAccountsPayable_deleverage</vt:lpstr>
      <vt:lpstr>_xlfn.ANCHORARRAY('BS'!DeltaOtherAccountsPayable_payout</vt:lpstr>
      <vt:lpstr>_xlfn.ANCHORARRAY('BS'!DeltaRawMaterials_base</vt:lpstr>
      <vt:lpstr>_xlfn.ANCHORARRAY('BS'!DeltaRawMaterials_deleverage</vt:lpstr>
      <vt:lpstr>_xlfn.ANCHORARRAY('BS'!DeltaRawMaterials_payout</vt:lpstr>
      <vt:lpstr>_xlfn.ANCHORARRAY('BS'!DeltaWagesPayable_base</vt:lpstr>
      <vt:lpstr>_xlfn.ANCHORARRAY('BS'!DeltaWagesPayable_deleverage</vt:lpstr>
      <vt:lpstr>_xlfn.ANCHORARRAY('BS'!DeltaWagesPayable_payout</vt:lpstr>
      <vt:lpstr>_xlfn.ANCHORARRAY('IS'!Depreciation_base</vt:lpstr>
      <vt:lpstr>_xlfn.CHOOSEROWS(BS!Depreciation_base</vt:lpstr>
      <vt:lpstr>_xlfn.ANCHORARRAY('IS'!Depreciation_deleverage</vt:lpstr>
      <vt:lpstr>_xlfn.CHOOSEROWS(BS!Depreciation_deleverage</vt:lpstr>
      <vt:lpstr>_xlfn.ANCHORARRAY('IS'!Depreciation_payout</vt:lpstr>
      <vt:lpstr>_xlfn.CHOOSEROWS(BS!Depreciation_payout</vt:lpstr>
      <vt:lpstr>_xlfn.ANCHORARRAY('IS'!DirectLaborCosts_base</vt:lpstr>
      <vt:lpstr>_xlfn.ANCHORARRAY('IS'!DirectLaborCosts_deleverage</vt:lpstr>
      <vt:lpstr>_xlfn.ANCHORARRAY('IS'!DirectLaborCosts_payout</vt:lpstr>
      <vt:lpstr>'LastActuals'!DirLabUnitCost</vt:lpstr>
      <vt:lpstr>_xlfn.ANCHORARRAY('SalesCOGS'!DirLabUnitCost_base</vt:lpstr>
      <vt:lpstr>'Assumpt'!DirLabUnitCost_base</vt:lpstr>
      <vt:lpstr>_xlfn.ANCHORARRAY('SalesCOGS'!DirLabUnitCost_deleverage</vt:lpstr>
      <vt:lpstr>'Assumpt'!DirLabUnitCost_deleverage</vt:lpstr>
      <vt:lpstr>_xlfn.ANCHORARRAY('SalesCOGS'!DirLabUnitCost_payout</vt:lpstr>
      <vt:lpstr>'Assumpt'!DirLabUnitCost_payout</vt:lpstr>
      <vt:lpstr>_xlfn.ANCHORARRAY('SCF'!DiscretionaryBCI_base</vt:lpstr>
      <vt:lpstr>_xlfn.ANCHORARRAY('SCF'!DiscretionaryBCI_deleverage</vt:lpstr>
      <vt:lpstr>_xlfn.ANCHORARRAY('SCF'!DiscretionaryBCI_payout</vt:lpstr>
      <vt:lpstr>_xlfn.ANCHORARRAY('SCF recursive'!DiscretionaryCash_base</vt:lpstr>
      <vt:lpstr>_xlfn.ANCHORARRAY('SCF'!DiscretionaryCash_base</vt:lpstr>
      <vt:lpstr>_xlfn.ANCHORARRAY('SCF recursive'!DiscretionaryCash_deleverage</vt:lpstr>
      <vt:lpstr>_xlfn.ANCHORARRAY('SCF'!DiscretionaryCash_deleverage</vt:lpstr>
      <vt:lpstr>_xlfn.ANCHORARRAY('SCF recursive'!DiscretionaryCash_payout</vt:lpstr>
      <vt:lpstr>_xlfn.ANCHORARRAY('SCF'!DiscretionaryCash_payout</vt:lpstr>
      <vt:lpstr>_xlfn.ANCHORARRAY('SCF'!DiscretionaryCashShortfall_base</vt:lpstr>
      <vt:lpstr>_xlfn.ANCHORARRAY('SCF'!DiscretionaryCashShortfall_deleverage</vt:lpstr>
      <vt:lpstr>_xlfn.ANCHORARRAY('SCF'!DiscretionaryCashShortfall_payout</vt:lpstr>
      <vt:lpstr>_xlfn.ANCHORARRAY('SCF recursive'!DiscretionaryPrev_base</vt:lpstr>
      <vt:lpstr>_xlfn.ANCHORARRAY('SCF'!DiscretionaryPrev_base</vt:lpstr>
      <vt:lpstr>_xlfn.ANCHORARRAY('SCF recursive'!DiscretionaryPrev_deleverage</vt:lpstr>
      <vt:lpstr>_xlfn.ANCHORARRAY('SCF'!DiscretionaryPrev_deleverage</vt:lpstr>
      <vt:lpstr>_xlfn.ANCHORARRAY('SCF recursive'!DiscretionaryPrev_payout</vt:lpstr>
      <vt:lpstr>_xlfn.ANCHORARRAY('SCF'!DiscretionaryPrev_payout</vt:lpstr>
      <vt:lpstr>_xlfn.ANCHORARRAY('BS'!Dividends_base</vt:lpstr>
      <vt:lpstr>_xlfn.ANCHORARRAY('SCF recursive'!Dividends_base</vt:lpstr>
      <vt:lpstr>_xlfn.ANCHORARRAY('SCF'!Dividends_base</vt:lpstr>
      <vt:lpstr>_xlfn.ANCHORARRAY('BS'!Dividends_deleverage</vt:lpstr>
      <vt:lpstr>_xlfn.ANCHORARRAY('SCF recursive'!Dividends_deleverage</vt:lpstr>
      <vt:lpstr>_xlfn.ANCHORARRAY('SCF'!Dividends_deleverage</vt:lpstr>
      <vt:lpstr>_xlfn.ANCHORARRAY('BS'!Dividends_payout</vt:lpstr>
      <vt:lpstr>_xlfn.ANCHORARRAY('SCF recursive'!Dividends_payout</vt:lpstr>
      <vt:lpstr>_xlfn.ANCHORARRAY('SCF'!Dividends_payout</vt:lpstr>
      <vt:lpstr>_xlfn.ANCHORARRAY('FCF'!EBIT_base</vt:lpstr>
      <vt:lpstr>_xlfn.ANCHORARRAY('IS'!EBIT_base</vt:lpstr>
      <vt:lpstr>_xlfn.ANCHORARRAY('FCF'!EBIT_deleverage</vt:lpstr>
      <vt:lpstr>_xlfn.ANCHORARRAY('IS'!EBIT_deleverage</vt:lpstr>
      <vt:lpstr>_xlfn.ANCHORARRAY('FCF'!EBIT_payout</vt:lpstr>
      <vt:lpstr>_xlfn.ANCHORARRAY('IS'!EBIT_payout</vt:lpstr>
      <vt:lpstr>_xlfn.ANCHORARRAY('IS'!EBITDA_base</vt:lpstr>
      <vt:lpstr>_xlfn.ANCHORARRAY('IS'!EBITDA_deleverage</vt:lpstr>
      <vt:lpstr>_xlfn.ANCHORARRAY('IS'!EBITDA_payout</vt:lpstr>
      <vt:lpstr>_xlfn.ANCHORARRAY('SCF'!ExcessBCI_base</vt:lpstr>
      <vt:lpstr>_xlfn.ANCHORARRAY('SCF'!ExcessBCI_deleverage</vt:lpstr>
      <vt:lpstr>_xlfn.ANCHORARRAY('SCF'!ExcessBCI_payout</vt:lpstr>
      <vt:lpstr>_xlfn.ANCHORARRAY('BS'!ExcessCash_base</vt:lpstr>
      <vt:lpstr>_xlfn.ANCHORARRAY('SCF recursive'!ExcessCash_base</vt:lpstr>
      <vt:lpstr>_xlfn.ANCHORARRAY('SCF'!ExcessCash_base</vt:lpstr>
      <vt:lpstr>_xlfn.ANCHORARRAY('BS'!ExcessCash_deleverage</vt:lpstr>
      <vt:lpstr>_xlfn.ANCHORARRAY('SCF recursive'!ExcessCash_deleverage</vt:lpstr>
      <vt:lpstr>_xlfn.ANCHORARRAY('SCF'!ExcessCash_deleverage</vt:lpstr>
      <vt:lpstr>_xlfn.ANCHORARRAY('BS'!ExcessCash_payout</vt:lpstr>
      <vt:lpstr>_xlfn.ANCHORARRAY('SCF recursive'!ExcessCash_payout</vt:lpstr>
      <vt:lpstr>_xlfn.ANCHORARRAY('SCF'!ExcessCash_payout</vt:lpstr>
      <vt:lpstr>_xlfn.ANCHORARRAY('SCF recursive'!ExcessPrev_base</vt:lpstr>
      <vt:lpstr>_xlfn.ANCHORARRAY('SCF recursive'!ExcessPrev_deleverage</vt:lpstr>
      <vt:lpstr>_xlfn.ANCHORARRAY('SCF recursive'!ExcessPrev_payout</vt:lpstr>
      <vt:lpstr>_xlfn.VSTACK(FCF!FCF_base</vt:lpstr>
      <vt:lpstr>'Check'!FCF_baseExp</vt:lpstr>
      <vt:lpstr>_xlfn.VSTACK(FCF!FCF_deleverage</vt:lpstr>
      <vt:lpstr>'Check'!FCF_deleverageExp</vt:lpstr>
      <vt:lpstr>_xlfn.VSTACK(FCF!FCF_payout</vt:lpstr>
      <vt:lpstr>'Check'!FCF_payoutExp</vt:lpstr>
      <vt:lpstr>_xlfn.ANCHORARRAY('FCF'!FCFE_base</vt:lpstr>
      <vt:lpstr>_xlfn.ANCHORARRAY('SCF recursive'!FCFE_base</vt:lpstr>
      <vt:lpstr>_xlfn.ANCHORARRAY('SCF'!FCFE_base</vt:lpstr>
      <vt:lpstr>_xlfn.ANCHORARRAY('FCF'!FCFE_deleverage</vt:lpstr>
      <vt:lpstr>_xlfn.ANCHORARRAY('SCF recursive'!FCFE_deleverage</vt:lpstr>
      <vt:lpstr>_xlfn.ANCHORARRAY('SCF'!FCFE_deleverage</vt:lpstr>
      <vt:lpstr>_xlfn.ANCHORARRAY('FCF'!FCFE_payout</vt:lpstr>
      <vt:lpstr>_xlfn.ANCHORARRAY('SCF recursive'!FCFE_payout</vt:lpstr>
      <vt:lpstr>_xlfn.ANCHORARRAY('SCF'!FCFE_payout</vt:lpstr>
      <vt:lpstr>_xlfn.ANCHORARRAY('FCF'!FCFF_base</vt:lpstr>
      <vt:lpstr>_xlfn.ANCHORARRAY('FCF'!FCFF_deleverage</vt:lpstr>
      <vt:lpstr>_xlfn.ANCHORARRAY('FCF'!FCFF_payout</vt:lpstr>
      <vt:lpstr>_xlfn.ANCHORARRAY('BS'!FinancialDebt_base</vt:lpstr>
      <vt:lpstr>_xlfn.ANCHORARRAY('BS'!FinancialDebt_deleverage</vt:lpstr>
      <vt:lpstr>_xlfn.ANCHORARRAY('BS'!FinancialDebt_payout</vt:lpstr>
      <vt:lpstr>_xlfn.VSTACK(FinDebt!FinDebt_base</vt:lpstr>
      <vt:lpstr>'Check'!FinDebt_baseExp</vt:lpstr>
      <vt:lpstr>_xlfn.VSTACK(FinDebt!FinDebt_deleverage</vt:lpstr>
      <vt:lpstr>'Check'!FinDebt_deleverageExp</vt:lpstr>
      <vt:lpstr>_xlfn.VSTACK(FinDebt!FinDebt_payout</vt:lpstr>
      <vt:lpstr>'Check'!FinDebt_payoutExp</vt:lpstr>
      <vt:lpstr>_xlfn.ANCHORARRAY('BS'!FinishedGoods_base</vt:lpstr>
      <vt:lpstr>_xlfn.ANCHORARRAY('BS'!FinishedGoods_deleverage</vt:lpstr>
      <vt:lpstr>_xlfn.ANCHORARRAY('BS'!FinishedGoods_payout</vt:lpstr>
      <vt:lpstr>'Model'!FixCap</vt:lpstr>
      <vt:lpstr>_xlfn.ANCHORARRAY('BS'!FixedAssetRoll_base</vt:lpstr>
      <vt:lpstr>_xlfn.ANCHORARRAY('BS'!FixedAssetRoll_deleverage</vt:lpstr>
      <vt:lpstr>_xlfn.ANCHORARRAY('BS'!FixedAssetRoll_payout</vt:lpstr>
      <vt:lpstr>'Model'!FixTol</vt:lpstr>
      <vt:lpstr>_xlfn.ANCHORARRAY('FCF'!FreeDividends_base</vt:lpstr>
      <vt:lpstr>_xlfn.ANCHORARRAY('FCF'!FreeDividends_deleverage</vt:lpstr>
      <vt:lpstr>_xlfn.ANCHORARRAY('FCF'!FreeDividends_payout</vt:lpstr>
      <vt:lpstr>_xlfn.ANCHORARRAY('FCF'!FreeSaleOrPurchaseOfStock_base</vt:lpstr>
      <vt:lpstr>_xlfn.ANCHORARRAY('FCF'!FreeSaleOrPurchaseOfStock_deleverage</vt:lpstr>
      <vt:lpstr>_xlfn.ANCHORARRAY('FCF'!FreeSaleOrPurchaseOfStock_payout</vt:lpstr>
      <vt:lpstr>_xlfn.ANCHORARRAY('BS'!Goodwill_base</vt:lpstr>
      <vt:lpstr>_xlfn.ANCHORARRAY('BS'!Goodwill_deleverage</vt:lpstr>
      <vt:lpstr>_xlfn.ANCHORARRAY('BS'!Goodwill_payout</vt:lpstr>
      <vt:lpstr>_xlfn.ANCHORARRAY('IS'!GrossProfit_base</vt:lpstr>
      <vt:lpstr>_xlfn.ANCHORARRAY('IS'!GrossProfit_deleverage</vt:lpstr>
      <vt:lpstr>_xlfn.ANCHORARRAY('IS'!GrossProfit_payout</vt:lpstr>
      <vt:lpstr>_xlfn.ANCHORARRAY('IS'!IncomeTaxes_base</vt:lpstr>
      <vt:lpstr>_xlfn.ANCHORARRAY('IS'!IncomeTaxes_deleverage</vt:lpstr>
      <vt:lpstr>_xlfn.ANCHORARRAY('IS'!IncomeTaxes_payout</vt:lpstr>
      <vt:lpstr>_xlfn.ANCHORARRAY('FinDebt'!Interest_base</vt:lpstr>
      <vt:lpstr>_xlfn.ANCHORARRAY('FinDebt'!Interest_deleverage</vt:lpstr>
      <vt:lpstr>_xlfn.ANCHORARRAY('FinDebt'!Interest_payout</vt:lpstr>
      <vt:lpstr>_xlfn.ANCHORARRAY('IS'!InterestExpenseOnBankOverdraft_base</vt:lpstr>
      <vt:lpstr>_xlfn.ANCHORARRAY('IS'!InterestExpenseOnBankOverdraft_deleverage</vt:lpstr>
      <vt:lpstr>_xlfn.ANCHORARRAY('IS'!InterestExpenseOnBankOverdraft_payout</vt:lpstr>
      <vt:lpstr>_xlfn.ANCHORARRAY('IS'!InterestIncomeOnExcessCash_base</vt:lpstr>
      <vt:lpstr>_xlfn.ANCHORARRAY('IS'!InterestIncomeOnExcessCash_deleverage</vt:lpstr>
      <vt:lpstr>_xlfn.ANCHORARRAY('IS'!InterestIncomeOnExcessCash_payout</vt:lpstr>
      <vt:lpstr>_xlfn.ANCHORARRAY('IS'!InterestOnFinancialDebt_base</vt:lpstr>
      <vt:lpstr>_xlfn.ANCHORARRAY('IS'!InterestOnFinancialDebt_deleverage</vt:lpstr>
      <vt:lpstr>_xlfn.ANCHORARRAY('IS'!InterestOnFinancialDebt_payout</vt:lpstr>
      <vt:lpstr>_xlfn.VSTACK(IS!IS_base</vt:lpstr>
      <vt:lpstr>'Check'!IS_baseExp</vt:lpstr>
      <vt:lpstr>_xlfn.VSTACK(IS!IS_deleverage</vt:lpstr>
      <vt:lpstr>'Check'!IS_deleverageExp</vt:lpstr>
      <vt:lpstr>_xlfn.VSTACK(IS!IS_payout</vt:lpstr>
      <vt:lpstr>'Check'!IS_payoutExp</vt:lpstr>
      <vt:lpstr>_xlfn.VSTACK(tblActuals[value], LastActuals!LastActuals</vt:lpstr>
      <vt:lpstr>'Check'!LastActualsExp</vt:lpstr>
      <vt:lpstr>_xlfn.ANCHORARRAY('FCF'!LessAfterTaxFindebtInterest_base</vt:lpstr>
      <vt:lpstr>_xlfn.ANCHORARRAY('FCF'!LessAfterTaxFindebtInterest_deleverage</vt:lpstr>
      <vt:lpstr>_xlfn.ANCHORARRAY('FCF'!LessAfterTaxFindebtInterest_payout</vt:lpstr>
      <vt:lpstr>_xlfn.ANCHORARRAY('FCF'!LessCapex_base</vt:lpstr>
      <vt:lpstr>_xlfn.ANCHORARRAY('FCF'!LessCapex_deleverage</vt:lpstr>
      <vt:lpstr>_xlfn.ANCHORARRAY('FCF'!LessCapex_payout</vt:lpstr>
      <vt:lpstr>_xlfn.ANCHORARRAY('FCF'!LessChangesInNWC_base</vt:lpstr>
      <vt:lpstr>_xlfn.ANCHORARRAY('FCF'!LessChangesInNWC_deleverage</vt:lpstr>
      <vt:lpstr>_xlfn.ANCHORARRAY('FCF'!LessChangesInNWC_payout</vt:lpstr>
      <vt:lpstr>_xlfn.ANCHORARRAY('FCF'!LessTaxesOnEBIT_base</vt:lpstr>
      <vt:lpstr>_xlfn.ANCHORARRAY('FCF'!LessTaxesOnEBIT_deleverage</vt:lpstr>
      <vt:lpstr>_xlfn.ANCHORARRAY('FCF'!LessTaxesOnEBIT_payout</vt:lpstr>
      <vt:lpstr>'LastActuals'!MarketShare</vt:lpstr>
      <vt:lpstr>_xlfn.ANCHORARRAY('SalesCOGS'!MarketShare_base</vt:lpstr>
      <vt:lpstr>'Assumpt'!MarketShare_base</vt:lpstr>
      <vt:lpstr>_xlfn.ANCHORARRAY('SalesCOGS'!MarketShare_deleverage</vt:lpstr>
      <vt:lpstr>'Assumpt'!MarketShare_deleverage</vt:lpstr>
      <vt:lpstr>_xlfn.ANCHORARRAY('SalesCOGS'!MarketShare_payout</vt:lpstr>
      <vt:lpstr>'Assumpt'!MarketShare_payout</vt:lpstr>
      <vt:lpstr>_xlfn.ANCHORARRAY('SalesCOGS'!MarketSize_base</vt:lpstr>
      <vt:lpstr>_xlfn.ANCHORARRAY('SalesCOGS'!MarketSize_deleverage</vt:lpstr>
      <vt:lpstr>_xlfn.ANCHORARRAY('SalesCOGS'!MarketSize_payout</vt:lpstr>
      <vt:lpstr>_xlfn.ANCHORARRAY('BS'!MinimumOperatingCash_base</vt:lpstr>
      <vt:lpstr>_xlfn.ANCHORARRAY('BS'!MinimumOperatingCash_deleverage</vt:lpstr>
      <vt:lpstr>_xlfn.ANCHORARRAY('BS'!MinimumOperatingCash_payout</vt:lpstr>
      <vt:lpstr>_xlfn.ANCHORARRAY('FCF'!NCF_base</vt:lpstr>
      <vt:lpstr>_xlfn.ANCHORARRAY('SCF recursive'!NCF_base</vt:lpstr>
      <vt:lpstr>_xlfn.ANCHORARRAY('SCF'!NCF_base</vt:lpstr>
      <vt:lpstr>_xlfn.ANCHORARRAY('FCF'!NCF_deleverage</vt:lpstr>
      <vt:lpstr>_xlfn.ANCHORARRAY('SCF recursive'!NCF_deleverage</vt:lpstr>
      <vt:lpstr>_xlfn.ANCHORARRAY('SCF'!NCF_deleverage</vt:lpstr>
      <vt:lpstr>_xlfn.ANCHORARRAY('FCF'!NCF_payout</vt:lpstr>
      <vt:lpstr>_xlfn.ANCHORARRAY('SCF recursive'!NCF_payout</vt:lpstr>
      <vt:lpstr>_xlfn.ANCHORARRAY('SCF'!NCF_payout</vt:lpstr>
      <vt:lpstr>_xlfn.ANCHORARRAY('SCF recursive'!NCFBCI_base</vt:lpstr>
      <vt:lpstr>_xlfn.ANCHORARRAY('SCF'!NCFBCI_base</vt:lpstr>
      <vt:lpstr>_xlfn.ANCHORARRAY('SCF recursive'!NCFBCI_deleverage</vt:lpstr>
      <vt:lpstr>_xlfn.ANCHORARRAY('SCF'!NCFBCI_deleverage</vt:lpstr>
      <vt:lpstr>_xlfn.ANCHORARRAY('SCF recursive'!NCFBCI_payout</vt:lpstr>
      <vt:lpstr>_xlfn.ANCHORARRAY('SCF'!NCFBCI_payout</vt:lpstr>
      <vt:lpstr>_xlfn.ANCHORARRAY('SCF recursive'!NCFViaCashDecomposition_base</vt:lpstr>
      <vt:lpstr>_xlfn.ANCHORARRAY('SCF'!NCFViaCashDecomposition_base</vt:lpstr>
      <vt:lpstr>_xlfn.ANCHORARRAY('SCF recursive'!NCFViaCashDecomposition_deleverage</vt:lpstr>
      <vt:lpstr>_xlfn.ANCHORARRAY('SCF'!NCFViaCashDecomposition_deleverage</vt:lpstr>
      <vt:lpstr>_xlfn.ANCHORARRAY('SCF recursive'!NCFViaCashDecomposition_payout</vt:lpstr>
      <vt:lpstr>_xlfn.ANCHORARRAY('SCF'!NCFViaCashDecomposition_payout</vt:lpstr>
      <vt:lpstr>_xlfn.ANCHORARRAY('SCF recursive'!NCFViaIncomeAndBSDelta_base</vt:lpstr>
      <vt:lpstr>_xlfn.ANCHORARRAY('SCF recursive'!NCFViaIncomeAndBSDelta_deleverage</vt:lpstr>
      <vt:lpstr>_xlfn.ANCHORARRAY('SCF recursive'!NCFViaIncomeAndBSDelta_payout</vt:lpstr>
      <vt:lpstr>_xlfn.ANCHORARRAY('SCF recursive'!NetCashInterest_base</vt:lpstr>
      <vt:lpstr>_xlfn.ANCHORARRAY('SCF'!NetCashInterest_base</vt:lpstr>
      <vt:lpstr>_xlfn.ANCHORARRAY('SCF recursive'!NetCashInterest_deleverage</vt:lpstr>
      <vt:lpstr>_xlfn.ANCHORARRAY('SCF'!NetCashInterest_deleverage</vt:lpstr>
      <vt:lpstr>_xlfn.ANCHORARRAY('SCF recursive'!NetCashInterest_payout</vt:lpstr>
      <vt:lpstr>_xlfn.ANCHORARRAY('SCF'!NetCashInterest_payout</vt:lpstr>
      <vt:lpstr>_xlfn.ANCHORARRAY('SCF recursive'!NetCashPosition_base</vt:lpstr>
      <vt:lpstr>_xlfn.ANCHORARRAY('SCF'!NetCashPosition_base</vt:lpstr>
      <vt:lpstr>_xlfn.ANCHORARRAY('SCF recursive'!NetCashPosition_deleverage</vt:lpstr>
      <vt:lpstr>_xlfn.ANCHORARRAY('SCF'!NetCashPosition_deleverage</vt:lpstr>
      <vt:lpstr>_xlfn.ANCHORARRAY('SCF recursive'!NetCashPosition_payout</vt:lpstr>
      <vt:lpstr>_xlfn.ANCHORARRAY('SCF'!NetCashPosition_payout</vt:lpstr>
      <vt:lpstr>_xlfn.ANCHORARRAY('SCF'!NetCashPositionBCI_base</vt:lpstr>
      <vt:lpstr>_xlfn.ANCHORARRAY('SCF'!NetCashPositionBCI_deleverage</vt:lpstr>
      <vt:lpstr>_xlfn.ANCHORARRAY('SCF'!NetCashPositionBCI_payout</vt:lpstr>
      <vt:lpstr>_xlfn.ANCHORARRAY('IS'!NetFinancialResult_base</vt:lpstr>
      <vt:lpstr>_xlfn.ANCHORARRAY('IS'!NetFinancialResult_deleverage</vt:lpstr>
      <vt:lpstr>_xlfn.ANCHORARRAY('IS'!NetFinancialResult_payout</vt:lpstr>
      <vt:lpstr>_xlfn.CHOOSEROWS(BS!NetFixedAssets_base</vt:lpstr>
      <vt:lpstr>_xlfn.CHOOSEROWS(BS!NetFixedAssets_deleverage</vt:lpstr>
      <vt:lpstr>_xlfn.CHOOSEROWS(BS!NetFixedAssets_payout</vt:lpstr>
      <vt:lpstr>_xlfn.ANCHORARRAY('BS'!NetIncome_base</vt:lpstr>
      <vt:lpstr>_xlfn.ANCHORARRAY('IS'!NetIncome_base</vt:lpstr>
      <vt:lpstr>_xlfn.ANCHORARRAY('BS'!NetIncome_deleverage</vt:lpstr>
      <vt:lpstr>_xlfn.ANCHORARRAY('IS'!NetIncome_deleverage</vt:lpstr>
      <vt:lpstr>_xlfn.ANCHORARRAY('BS'!NetIncome_payout</vt:lpstr>
      <vt:lpstr>_xlfn.ANCHORARRAY('IS'!NetIncome_payout</vt:lpstr>
      <vt:lpstr>_xlfn.ANCHORARRAY('BS'!NetWorkingCapital_base</vt:lpstr>
      <vt:lpstr>_xlfn.ANCHORARRAY('BS'!NetWorkingCapital_deleverage</vt:lpstr>
      <vt:lpstr>_xlfn.ANCHORARRAY('BS'!NetWorkingCapital_payout</vt:lpstr>
      <vt:lpstr>_xlfn.ANCHORARRAY('BS'!OtherAccountsPayable_base</vt:lpstr>
      <vt:lpstr>_xlfn.ANCHORARRAY('BS'!OtherAccountsPayable_deleverage</vt:lpstr>
      <vt:lpstr>_xlfn.ANCHORARRAY('BS'!OtherAccountsPayable_payout</vt:lpstr>
      <vt:lpstr>'FinDebt'!OutstandingDebt_base</vt:lpstr>
      <vt:lpstr>'FinDebt'!OutstandingDebt_deleverage</vt:lpstr>
      <vt:lpstr>'FinDebt'!OutstandingDebt_payout</vt:lpstr>
      <vt:lpstr>_xlfn.ANCHORARRAY('SCF'!OverdraftBCI_base</vt:lpstr>
      <vt:lpstr>_xlfn.ANCHORARRAY('SCF'!OverdraftBCI_deleverage</vt:lpstr>
      <vt:lpstr>_xlfn.ANCHORARRAY('SCF'!OverdraftBCI_payout</vt:lpstr>
      <vt:lpstr>_xlfn.ANCHORARRAY('SCF recursive'!OverdraftInterestExpense_base</vt:lpstr>
      <vt:lpstr>_xlfn.ANCHORARRAY('SCF'!OverdraftInterestExpense_base</vt:lpstr>
      <vt:lpstr>_xlfn.ANCHORARRAY('SCF recursive'!OverdraftInterestExpense_deleverage</vt:lpstr>
      <vt:lpstr>_xlfn.ANCHORARRAY('SCF'!OverdraftInterestExpense_deleverage</vt:lpstr>
      <vt:lpstr>_xlfn.ANCHORARRAY('SCF recursive'!OverdraftInterestExpense_payout</vt:lpstr>
      <vt:lpstr>_xlfn.ANCHORARRAY('SCF'!OverdraftInterestExpense_payout</vt:lpstr>
      <vt:lpstr>_xlfn.ANCHORARRAY('SCF recursive'!OverdraftPrev_base</vt:lpstr>
      <vt:lpstr>_xlfn.ANCHORARRAY('SCF recursive'!OverdraftPrev_deleverage</vt:lpstr>
      <vt:lpstr>_xlfn.ANCHORARRAY('SCF recursive'!OverdraftPrev_payout</vt:lpstr>
      <vt:lpstr>_xlfn.ANCHORARRAY('SCF recursive'!OverdraftWarning_base</vt:lpstr>
      <vt:lpstr>_xlfn.ANCHORARRAY('SCF'!OverdraftWarning_base</vt:lpstr>
      <vt:lpstr>_xlfn.ANCHORARRAY('SCF recursive'!OverdraftWarning_deleverage</vt:lpstr>
      <vt:lpstr>_xlfn.ANCHORARRAY('SCF'!OverdraftWarning_deleverage</vt:lpstr>
      <vt:lpstr>_xlfn.ANCHORARRAY('SCF recursive'!OverdraftWarning_payout</vt:lpstr>
      <vt:lpstr>_xlfn.ANCHORARRAY('SCF'!OverdraftWarning_payout</vt:lpstr>
      <vt:lpstr>'SCF recursive'!ParityA_base</vt:lpstr>
      <vt:lpstr>'Check'!ParityA_baseExp</vt:lpstr>
      <vt:lpstr>'SCF recursive'!ParityA_deleverage</vt:lpstr>
      <vt:lpstr>'Check'!ParityA_deleverageExp</vt:lpstr>
      <vt:lpstr>'SCF recursive'!ParityA_payout</vt:lpstr>
      <vt:lpstr>'Check'!ParityA_payoutExp</vt:lpstr>
      <vt:lpstr>'SCF recursive'!ParityB_base</vt:lpstr>
      <vt:lpstr>'Check'!ParityB_baseExp</vt:lpstr>
      <vt:lpstr>'SCF recursive'!ParityB_deleverage</vt:lpstr>
      <vt:lpstr>'Check'!ParityB_deleverageExp</vt:lpstr>
      <vt:lpstr>'SCF recursive'!ParityB_payout</vt:lpstr>
      <vt:lpstr>'Check'!ParityB_payoutExp</vt:lpstr>
      <vt:lpstr>_xlfn.ANCHORARRAY('SCF recursive'!ParityResidualA_base</vt:lpstr>
      <vt:lpstr>_xlfn.ANCHORARRAY('SCF recursive'!ParityResidualA_deleverage</vt:lpstr>
      <vt:lpstr>_xlfn.ANCHORARRAY('SCF recursive'!ParityResidualA_payout</vt:lpstr>
      <vt:lpstr>_xlfn.ANCHORARRAY('SCF recursive'!ParityResidualB_base</vt:lpstr>
      <vt:lpstr>_xlfn.ANCHORARRAY('SCF'!ParityResidualB_base</vt:lpstr>
      <vt:lpstr>_xlfn.ANCHORARRAY('SCF recursive'!ParityResidualB_deleverage</vt:lpstr>
      <vt:lpstr>_xlfn.ANCHORARRAY('SCF'!ParityResidualB_deleverage</vt:lpstr>
      <vt:lpstr>_xlfn.ANCHORARRAY('SCF recursive'!ParityResidualB_payout</vt:lpstr>
      <vt:lpstr>_xlfn.ANCHORARRAY('SCF'!ParityResidualB_payout</vt:lpstr>
      <vt:lpstr>_xlfn.ANCHORARRAY('FCF'!PlusDepreciation_base</vt:lpstr>
      <vt:lpstr>_xlfn.ANCHORARRAY('FCF'!PlusDepreciation_deleverage</vt:lpstr>
      <vt:lpstr>_xlfn.ANCHORARRAY('FCF'!PlusDepreciation_payout</vt:lpstr>
      <vt:lpstr>_xlfn.ANCHORARRAY('FCF'!PlusNetBorrowing_base</vt:lpstr>
      <vt:lpstr>_xlfn.ANCHORARRAY('FCF'!PlusNetBorrowing_deleverage</vt:lpstr>
      <vt:lpstr>_xlfn.ANCHORARRAY('FCF'!PlusNetBorrowing_payout</vt:lpstr>
      <vt:lpstr>_xlfn.ANCHORARRAY('IS'!PreTaxIncome_base</vt:lpstr>
      <vt:lpstr>_xlfn.ANCHORARRAY('IS'!PreTaxIncome_deleverage</vt:lpstr>
      <vt:lpstr>_xlfn.ANCHORARRAY('IS'!PreTaxIncome_payout</vt:lpstr>
      <vt:lpstr>'Check'!Rates_baseExp</vt:lpstr>
      <vt:lpstr>'Check'!Rates_deleverageExp</vt:lpstr>
      <vt:lpstr>'Check'!Rates_payoutExp</vt:lpstr>
      <vt:lpstr>_xlfn.ANCHORARRAY('BS'!RawMaterials_base</vt:lpstr>
      <vt:lpstr>_xlfn.ANCHORARRAY('IS'!RawMaterials_base</vt:lpstr>
      <vt:lpstr>_xlfn.ANCHORARRAY('BS'!RawMaterials_deleverage</vt:lpstr>
      <vt:lpstr>_xlfn.ANCHORARRAY('IS'!RawMaterials_deleverage</vt:lpstr>
      <vt:lpstr>_xlfn.ANCHORARRAY('BS'!RawMaterials_payout</vt:lpstr>
      <vt:lpstr>_xlfn.ANCHORARRAY('IS'!RawMaterials_payout</vt:lpstr>
      <vt:lpstr>'LastActuals'!RawMatUnitCost</vt:lpstr>
      <vt:lpstr>_xlfn.ANCHORARRAY('SalesCOGS'!RawMatUnitCost_base</vt:lpstr>
      <vt:lpstr>'Assumpt'!RawMatUnitCost_base</vt:lpstr>
      <vt:lpstr>_xlfn.ANCHORARRAY('SalesCOGS'!RawMatUnitCost_deleverage</vt:lpstr>
      <vt:lpstr>'Assumpt'!RawMatUnitCost_deleverage</vt:lpstr>
      <vt:lpstr>_xlfn.ANCHORARRAY('SalesCOGS'!RawMatUnitCost_payout</vt:lpstr>
      <vt:lpstr>'Assumpt'!RawMatUnitCost_payout</vt:lpstr>
      <vt:lpstr>_xlfn.ANCHORARRAY('SCF recursive'!ReAddChangeInOperatingCash_base</vt:lpstr>
      <vt:lpstr>_xlfn.ANCHORARRAY('SCF'!ReAddChangeInOperatingCash_base</vt:lpstr>
      <vt:lpstr>_xlfn.ANCHORARRAY('SCF recursive'!ReAddChangeInOperatingCash_deleverage</vt:lpstr>
      <vt:lpstr>_xlfn.ANCHORARRAY('SCF'!ReAddChangeInOperatingCash_deleverage</vt:lpstr>
      <vt:lpstr>_xlfn.ANCHORARRAY('SCF recursive'!ReAddChangeInOperatingCash_payout</vt:lpstr>
      <vt:lpstr>_xlfn.ANCHORARRAY('SCF'!ReAddChangeInOperatingCash_payout</vt:lpstr>
      <vt:lpstr>_xlfn.ANCHORARRAY('BS'!SaleOrPurchaseOfStock_base</vt:lpstr>
      <vt:lpstr>_xlfn.ANCHORARRAY('SCF recursive'!SaleOrPurchaseOfStock_base</vt:lpstr>
      <vt:lpstr>_xlfn.ANCHORARRAY('SCF'!SaleOrPurchaseOfStock_base</vt:lpstr>
      <vt:lpstr>_xlfn.ANCHORARRAY('BS'!SaleOrPurchaseOfStock_deleverage</vt:lpstr>
      <vt:lpstr>_xlfn.ANCHORARRAY('SCF recursive'!SaleOrPurchaseOfStock_deleverage</vt:lpstr>
      <vt:lpstr>_xlfn.ANCHORARRAY('SCF'!SaleOrPurchaseOfStock_deleverage</vt:lpstr>
      <vt:lpstr>_xlfn.ANCHORARRAY('BS'!SaleOrPurchaseOfStock_payout</vt:lpstr>
      <vt:lpstr>_xlfn.ANCHORARRAY('SCF recursive'!SaleOrPurchaseOfStock_payout</vt:lpstr>
      <vt:lpstr>_xlfn.ANCHORARRAY('SCF'!SaleOrPurchaseOfStock_payout</vt:lpstr>
      <vt:lpstr>_xlfn.ANCHORARRAY('IS'!Sales_base</vt:lpstr>
      <vt:lpstr>_xlfn.ANCHORARRAY('IS'!Sales_deleverage</vt:lpstr>
      <vt:lpstr>_xlfn.ANCHORARRAY('IS'!Sales_payout</vt:lpstr>
      <vt:lpstr>_xlfn.ANCHORARRAY('IS'!SalesAndMarketing_base</vt:lpstr>
      <vt:lpstr>_xlfn.ANCHORARRAY('IS'!SalesAndMarketing_deleverage</vt:lpstr>
      <vt:lpstr>_xlfn.ANCHORARRAY('IS'!SalesAndMarketing_payout</vt:lpstr>
      <vt:lpstr>_xlfn.VSTACK(SalesCOGS!SalesCOGS_base</vt:lpstr>
      <vt:lpstr>'Check'!SalesCOGS_baseExp</vt:lpstr>
      <vt:lpstr>_xlfn.VSTACK(SalesCOGS!SalesCOGS_deleverage</vt:lpstr>
      <vt:lpstr>'Check'!SalesCOGS_deleverageExp</vt:lpstr>
      <vt:lpstr>_xlfn.VSTACK(SalesCOGS!SalesCOGS_payout</vt:lpstr>
      <vt:lpstr>'Check'!SalesCOGS_payoutExp</vt:lpstr>
      <vt:lpstr>_xlfn.VSTACK(SCF!SCF_base</vt:lpstr>
      <vt:lpstr>'Check'!SCF_baseExp</vt:lpstr>
      <vt:lpstr>_xlfn.VSTACK(SCF!SCF_deleverage</vt:lpstr>
      <vt:lpstr>'Check'!SCF_deleverageExp</vt:lpstr>
      <vt:lpstr>_xlfn.VSTACK(SCF!SCF_payout</vt:lpstr>
      <vt:lpstr>'Check'!SCF_payoutExp</vt:lpstr>
      <vt:lpstr>SCF!SCFParityB_base</vt:lpstr>
      <vt:lpstr>'Check'!SCFParityB_baseExp</vt:lpstr>
      <vt:lpstr>SCF!SCFParityB_deleverage</vt:lpstr>
      <vt:lpstr>'Check'!SCFParityB_deleverageExp</vt:lpstr>
      <vt:lpstr>SCF!SCFParityB_payout</vt:lpstr>
      <vt:lpstr>'Check'!SCFParityB_payoutExp</vt:lpstr>
      <vt:lpstr>_xlfn.VSTACK('SCF recursive'!SCFrecursive_base</vt:lpstr>
      <vt:lpstr>'Check'!SCFrecursive_baseExp</vt:lpstr>
      <vt:lpstr>_xlfn.VSTACK('SCF recursive'!SCFrecursive_deleverage</vt:lpstr>
      <vt:lpstr>'Check'!SCFrecursive_deleverageExp</vt:lpstr>
      <vt:lpstr>_xlfn.VSTACK('SCF recursive'!SCFrecursive_payout</vt:lpstr>
      <vt:lpstr>'Check'!SCFrecursive_payoutExp</vt:lpstr>
      <vt:lpstr>'Check'!SelfTest</vt:lpstr>
      <vt:lpstr>_xlfn.ANCHORARRAY('BS'!StockholdersEquity_base</vt:lpstr>
      <vt:lpstr>_xlfn.ANCHORARRAY('BS'!StockholdersEquity_deleverage</vt:lpstr>
      <vt:lpstr>_xlfn.ANCHORARRAY('BS'!StockholdersEquity_payout</vt:lpstr>
      <vt:lpstr>_xlfn.ANCHORARRAY('SCF recursive'!Swing_base</vt:lpstr>
      <vt:lpstr>_xlfn.ANCHORARRAY('SCF recursive'!Swing_deleverage</vt:lpstr>
      <vt:lpstr>_xlfn.ANCHORARRAY('SCF recursive'!Swing_payout</vt:lpstr>
      <vt:lpstr>'Check'!Tol</vt:lpstr>
      <vt:lpstr>_xlfn.ANCHORARRAY('BS'!TotalAssets_base</vt:lpstr>
      <vt:lpstr>_xlfn.ANCHORARRAY('BS'!TotalAssets_deleverage</vt:lpstr>
      <vt:lpstr>_xlfn.ANCHORARRAY('BS'!TotalAssets_payout</vt:lpstr>
      <vt:lpstr>_xlfn.ANCHORARRAY('BS'!TotalLiabilitiesAndEquity_base</vt:lpstr>
      <vt:lpstr>_xlfn.ANCHORARRAY('BS'!TotalLiabilitiesAndEquity_deleverage</vt:lpstr>
      <vt:lpstr>_xlfn.ANCHORARRAY('BS'!TotalLiabilitiesAndEquity_payout</vt:lpstr>
      <vt:lpstr>_xlfn.ANCHORARRAY('BS'!TotalNetOperatingAssets_base</vt:lpstr>
      <vt:lpstr>_xlfn.ANCHORARRAY('BS'!TotalNetOperatingAssets_deleverage</vt:lpstr>
      <vt:lpstr>_xlfn.ANCHORARRAY('BS'!TotalNetOperatingAssets_payout</vt:lpstr>
      <vt:lpstr>_xlfn.ANCHORARRAY('SCF recursive'!TotalNonCashNWCChange_base</vt:lpstr>
      <vt:lpstr>_xlfn.ANCHORARRAY('SCF'!TotalNonCashNWCChange_base</vt:lpstr>
      <vt:lpstr>_xlfn.ANCHORARRAY('SCF recursive'!TotalNonCashNWCChange_deleverage</vt:lpstr>
      <vt:lpstr>_xlfn.ANCHORARRAY('SCF'!TotalNonCashNWCChange_deleverage</vt:lpstr>
      <vt:lpstr>_xlfn.ANCHORARRAY('SCF recursive'!TotalNonCashNWCChange_payout</vt:lpstr>
      <vt:lpstr>_xlfn.ANCHORARRAY('SCF'!TotalNonCashNWCChange_payout</vt:lpstr>
      <vt:lpstr>_xlfn.ANCHORARRAY('BS'!Unbalance_base</vt:lpstr>
      <vt:lpstr>BS!Unbalance_base</vt:lpstr>
      <vt:lpstr>'Check'!Unbalance_baseExp</vt:lpstr>
      <vt:lpstr>_xlfn.ANCHORARRAY('BS'!Unbalance_deleverage</vt:lpstr>
      <vt:lpstr>BS!Unbalance_deleverage</vt:lpstr>
      <vt:lpstr>'Check'!Unbalance_deleverageExp</vt:lpstr>
      <vt:lpstr>_xlfn.ANCHORARRAY('BS'!Unbalance_payout</vt:lpstr>
      <vt:lpstr>BS!Unbalance_payout</vt:lpstr>
      <vt:lpstr>'Check'!Unbalance_payoutExp</vt:lpstr>
      <vt:lpstr>_xlfn.ANCHORARRAY('FCF'!UnleveredNetIncome_base</vt:lpstr>
      <vt:lpstr>_xlfn.ANCHORARRAY('FCF'!UnleveredNetIncome_deleverage</vt:lpstr>
      <vt:lpstr>_xlfn.ANCHORARRAY('FCF'!UnleveredNetIncome_payout</vt:lpstr>
      <vt:lpstr>_xlfn.ANCHORARRAY('BS'!WagesPayable_base</vt:lpstr>
      <vt:lpstr>_xlfn.ANCHORARRAY('BS'!WagesPayable_deleverage</vt:lpstr>
      <vt:lpstr>_xlfn.ANCHORARRAY('BS'!WagesPayable_payout</vt:lpstr>
      <vt:lpstr>_xlfn.ANCHORARRAY('Model'!Years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LBO episode 03, revised — the obvious reproduction, which is a circular reference</dc:title>
  <dc:subject>Rebuilding LBO-Episode 3 in Excel</dc:subject>
  <dc:creator>The Workbench</dc:creator>
  <dc:description>Workbook for the post 'Rebuilding LBO-Episode 3 in Excel' (theworkbench.lerzegov.org). The obvious reproduction: the circular cash policy written one spilled formula per line item. Excel computes the loop as zeros.</dc:description>
  <cp:lastModifiedBy>The Workbench</cp:lastModifiedBy>
  <dcterms:created xsi:type="dcterms:W3CDTF">2026-09-26T00:00:00Z</dcterms:created>
  <dcterms:modified xsi:type="dcterms:W3CDTF">2026-09-26T00:00:00Z</dcterms:modified>
</cp:coreProperties>
</file>